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drawings/drawing6.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drawings/drawing7.xml" ContentType="application/vnd.openxmlformats-officedocument.drawing+xml"/>
  <Override PartName="/xl/ctrlProps/ctrlProp91.xml" ContentType="application/vnd.ms-excel.controlproperties+xml"/>
  <Override PartName="/xl/ctrlProps/ctrlProp92.xml" ContentType="application/vnd.ms-excel.controlproperties+xml"/>
  <Override PartName="/xl/comments14.xml" ContentType="application/vnd.openxmlformats-officedocument.spreadsheetml.comments+xml"/>
  <Override PartName="/xl/drawings/drawing8.xml" ContentType="application/vnd.openxmlformats-officedocument.drawing+xml"/>
  <Override PartName="/xl/ctrlProps/ctrlProp93.xml" ContentType="application/vnd.ms-excel.controlproperties+xml"/>
  <Override PartName="/xl/ctrlProps/ctrlProp94.xml" ContentType="application/vnd.ms-excel.controlpropertie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G:\DFA\Programs\AMC-RHDS P&amp;P Task Force\Universal Application\"/>
    </mc:Choice>
  </mc:AlternateContent>
  <workbookProtection workbookPassword="C9E9" lockStructure="1"/>
  <bookViews>
    <workbookView xWindow="28680" yWindow="-120" windowWidth="29040" windowHeight="15840" tabRatio="859" activeTab="1"/>
  </bookViews>
  <sheets>
    <sheet name="Instructions" sheetId="19" r:id="rId1"/>
    <sheet name="General " sheetId="1" r:id="rId2"/>
    <sheet name="Narrative " sheetId="34" r:id="rId3"/>
    <sheet name="Site &amp; Units" sheetId="28" r:id="rId4"/>
    <sheet name="Misc." sheetId="3" r:id="rId5"/>
    <sheet name="Rents " sheetId="24" r:id="rId6"/>
    <sheet name="NPLH Rents" sheetId="37" state="hidden" r:id="rId7"/>
    <sheet name="HHC Rents" sheetId="45" state="hidden" r:id="rId8"/>
    <sheet name="Subsidies" sheetId="27" r:id="rId9"/>
    <sheet name="Dev Sources" sheetId="4" r:id="rId10"/>
    <sheet name="Dev Budget" sheetId="47" r:id="rId11"/>
    <sheet name="Developer Fee" sheetId="50" r:id="rId12"/>
    <sheet name="TBL and High Cost Test" sheetId="49" r:id="rId13"/>
    <sheet name="Supportive Services Costs" sheetId="41" r:id="rId14"/>
    <sheet name="Operating " sheetId="9" r:id="rId15"/>
    <sheet name="Cash Flow" sheetId="11" r:id="rId16"/>
    <sheet name="NPLH COSR Calculation" sheetId="38" state="hidden" r:id="rId17"/>
    <sheet name="Income Limits" sheetId="44" state="hidden" r:id="rId18"/>
    <sheet name="HHC COSR Calculation" sheetId="46" state="hidden" r:id="rId19"/>
    <sheet name="HHC COSR PU Amounts" sheetId="40" state="hidden" r:id="rId20"/>
    <sheet name="Narrative-Concat." sheetId="32" state="hidden" r:id="rId21"/>
    <sheet name="SD_Dropdowns" sheetId="35" state="veryHidden" r:id="rId22"/>
    <sheet name="Drop Down" sheetId="33" state="hidden" r:id="rId23"/>
    <sheet name="Contact Names Formula" sheetId="36" state="hidden" r:id="rId24"/>
    <sheet name="MAPPING" sheetId="39" state="hidden" r:id="rId25"/>
  </sheets>
  <externalReferences>
    <externalReference r:id="rId26"/>
    <externalReference r:id="rId27"/>
  </externalReferences>
  <definedNames>
    <definedName name="_xlnm._FilterDatabase" localSheetId="19" hidden="1">'HHC COSR PU Amounts'!$A$1:$A$233</definedName>
    <definedName name="Access_Road_Maintenance" localSheetId="23">'Contact Names Formula'!#REF!</definedName>
    <definedName name="Access_Road_Maintenance">'Drop Down'!$Y$3:$Y$5</definedName>
    <definedName name="Applicant_Role" localSheetId="23">'Contact Names Formula'!#REF!</definedName>
    <definedName name="Applicant_Role">'Drop Down'!$P$3:$P$10</definedName>
    <definedName name="AssemblyDistrictCode" localSheetId="23">'Contact Names Formula'!#REF!</definedName>
    <definedName name="AssemblyDistrictCode">'Drop Down'!$S$3:$S$84</definedName>
    <definedName name="Beds" localSheetId="23">'Contact Names Formula'!#REF!</definedName>
    <definedName name="Beds">'Drop Down'!$AH$3:$AH$10</definedName>
    <definedName name="CalHFA_Application_Type" localSheetId="23">'Contact Names Formula'!#REF!</definedName>
    <definedName name="CalHFA_Application_Type">'Drop Down'!$D$3:$D$7</definedName>
    <definedName name="CalHFArents">'Rents '!$Z$31:$AF$31</definedName>
    <definedName name="CongressionalDistrictCode" localSheetId="23">'Contact Names Formula'!#REF!</definedName>
    <definedName name="CongressionalDistrictCode">'Drop Down'!$T$3:$T$58</definedName>
    <definedName name="County" localSheetId="23">'Contact Names Formula'!#REF!</definedName>
    <definedName name="County">'Drop Down'!$J$3:$J$60</definedName>
    <definedName name="CountyTBL">'TBL and High Cost Test'!$AJ$2</definedName>
    <definedName name="Development__Type" localSheetId="23">'Contact Names Formula'!#REF!</definedName>
    <definedName name="Development__Type">'Drop Down'!$M$3:$M$9</definedName>
    <definedName name="Fed_Min_Set" localSheetId="23">'Contact Names Formula'!#REF!</definedName>
    <definedName name="Fed_Min_Set">'Drop Down'!$B$3:$B$7</definedName>
    <definedName name="FORM_OF_ENTITY" localSheetId="23">'Contact Names Formula'!#REF!</definedName>
    <definedName name="FORM_OF_ENTITY">'Drop Down'!$V$3:$V$14</definedName>
    <definedName name="Funding" localSheetId="11" hidden="1">{"Sources and Uses - Construction",#N/A,FALSE,"Construction S &amp; U"}</definedName>
    <definedName name="Funding" hidden="1">{"Sources and Uses - Construction",#N/A,FALSE,"Construction S &amp; U"}</definedName>
    <definedName name="FundingX" localSheetId="11" hidden="1">{"Sources and Uses - Construction",#N/A,FALSE,"Construction S &amp; U"}</definedName>
    <definedName name="FundingX" hidden="1">{"Sources and Uses - Construction",#N/A,FALSE,"Construction S &amp; U"}</definedName>
    <definedName name="George3" localSheetId="11" hidden="1">{"Project Summary",#N/A,FALSE,"Project Summary";"Rent Summary",#N/A,FALSE,"Rent Summary";"Operating Budget Detail",#N/A,FALSE,"Operations";"Operating Budget Summary",#N/A,FALSE,"Operations";"Sources and Uses",#N/A,FALSE,"Sources &amp; Uses";"Cash Flow",#N/A,FALSE,"Cash Flow"}</definedName>
    <definedName name="George3" localSheetId="12" hidden="1">{"Project Summary",#N/A,FALSE,"Project Summary";"Rent Summary",#N/A,FALSE,"Rent Summary";"Operating Budget Detail",#N/A,FALSE,"Operations";"Operating Budget Summary",#N/A,FALSE,"Operations";"Sources and Uses",#N/A,FALSE,"Sources &amp; Uses";"Cash Flow",#N/A,FALSE,"Cash Flow"}</definedName>
    <definedName name="George3" hidden="1">{"Project Summary",#N/A,FALSE,"Project Summary";"Rent Summary",#N/A,FALSE,"Rent Summary";"Operating Budget Detail",#N/A,FALSE,"Operations";"Operating Budget Summary",#N/A,FALSE,"Operations";"Sources and Uses",#N/A,FALSE,"Sources &amp; Uses";"Cash Flow",#N/A,FALSE,"Cash Flow"}</definedName>
    <definedName name="George3_1" localSheetId="11" hidden="1">{"Project Summary",#N/A,FALSE,"Project Summary";"Rent Summary",#N/A,FALSE,"Rent Summary";"Operating Budget Detail",#N/A,FALSE,"Operations";"Operating Budget Summary",#N/A,FALSE,"Operations";"Sources and Uses",#N/A,FALSE,"Sources &amp; Uses";"Cash Flow",#N/A,FALSE,"Cash Flow"}</definedName>
    <definedName name="George4" localSheetId="11" hidden="1">{"Cash Flow",#N/A,FALSE,"Cash Flow"}</definedName>
    <definedName name="George4" localSheetId="12" hidden="1">{"Cash Flow",#N/A,FALSE,"Cash Flow"}</definedName>
    <definedName name="George4" hidden="1">{"Cash Flow",#N/A,FALSE,"Cash Flow"}</definedName>
    <definedName name="George4_1" localSheetId="11" hidden="1">{"Cash Flow",#N/A,FALSE,"Cash Flow"}</definedName>
    <definedName name="HCD_Funding" localSheetId="23">'Contact Names Formula'!#REF!</definedName>
    <definedName name="HCD_Funding">'Drop Down'!$R$3:$R$16</definedName>
    <definedName name="Income_Limit" localSheetId="23">'Contact Names Formula'!#REF!</definedName>
    <definedName name="Income_Limit">'Drop Down'!$AF$3:$AF$18</definedName>
    <definedName name="Interest_Rate_Type" localSheetId="23">'Contact Names Formula'!#REF!</definedName>
    <definedName name="Interest_Rate_Type">'Drop Down'!$AK$3:$AK$9</definedName>
    <definedName name="Layout" localSheetId="23">'Contact Names Formula'!#REF!</definedName>
    <definedName name="Layout">'Drop Down'!$Z$3:$Z$5</definedName>
    <definedName name="Lease_Terms" localSheetId="23">'Contact Names Formula'!#REF!</definedName>
    <definedName name="Lease_Terms">'Drop Down'!$AB$3:$AB$6</definedName>
    <definedName name="MgrUnits">'TBL and High Cost Test'!$O$10</definedName>
    <definedName name="Multiple_Parcels?" localSheetId="23">'Contact Names Formula'!#REF!</definedName>
    <definedName name="Multiple_Parcels?">'Drop Down'!$Q$3:$Q$7</definedName>
    <definedName name="Occupancy" localSheetId="23">'Contact Names Formula'!#REF!</definedName>
    <definedName name="Occupancy">'Drop Down'!$N$3:$N$10</definedName>
    <definedName name="Otherrents">'Rents '!$A$135:$G$145</definedName>
    <definedName name="Owner_or_Tenant_paid_utilities" localSheetId="23">'Contact Names Formula'!#REF!</definedName>
    <definedName name="Owner_or_Tenant_paid_utilities">'Drop Down'!$AE$3:$AE$6</definedName>
    <definedName name="Partner_or_Member_Role" localSheetId="23">'Contact Names Formula'!#REF!</definedName>
    <definedName name="Partner_or_Member_Role">'Drop Down'!$W$3:$W$9</definedName>
    <definedName name="PermSourceAmounts">'Dev Sources'!$E$6:$E$19</definedName>
    <definedName name="PermSourceNames">'Dev Sources'!$B$6:$B$19</definedName>
    <definedName name="PermSourceNumbers">'Dev Sources'!$S$6:$S$19</definedName>
    <definedName name="Pool" localSheetId="23">'Contact Names Formula'!#REF!</definedName>
    <definedName name="Pool">'Drop Down'!$L$3:$L$7</definedName>
    <definedName name="_xlnm.Print_Area" localSheetId="15">'Cash Flow'!$A$3:$W$77</definedName>
    <definedName name="_xlnm.Print_Area" localSheetId="10">'Dev Budget'!$A$1:$G$116</definedName>
    <definedName name="_xlnm.Print_Area" localSheetId="9">'Dev Sources'!$A$1:$O$49</definedName>
    <definedName name="_xlnm.Print_Area" localSheetId="22">'Drop Down'!$A$1</definedName>
    <definedName name="_xlnm.Print_Area" localSheetId="1">'General '!$A$1:$AO$64</definedName>
    <definedName name="_xlnm.Print_Area" localSheetId="7">'HHC Rents'!$A$1:$K$48</definedName>
    <definedName name="_xlnm.Print_Area" localSheetId="0">Instructions!$A$1:$AL$38</definedName>
    <definedName name="_xlnm.Print_Area" localSheetId="4">Misc.!$A$1:$AO$68</definedName>
    <definedName name="_xlnm.Print_Area" localSheetId="2">'Narrative '!$A$1:$A$27</definedName>
    <definedName name="_xlnm.Print_Area" localSheetId="20">'Narrative-Concat.'!$A$1:$G$1</definedName>
    <definedName name="_xlnm.Print_Area" localSheetId="6">'NPLH Rents'!$A$1:$K$48</definedName>
    <definedName name="_xlnm.Print_Area" localSheetId="14">'Operating '!$A$1:$E$136</definedName>
    <definedName name="_xlnm.Print_Area" localSheetId="5">'Rents '!$A$1:$J$166</definedName>
    <definedName name="_xlnm.Print_Area" localSheetId="3">'Site &amp; Units'!$A$1:$AO$76</definedName>
    <definedName name="_xlnm.Print_Area" localSheetId="8">Subsidies!$A$1:$L$154</definedName>
    <definedName name="_xlnm.Print_Area" localSheetId="13">'Supportive Services Costs'!$A$2:$AL$12</definedName>
    <definedName name="_xlnm.Print_Area" localSheetId="12">'TBL and High Cost Test'!$A$1:$AU$54</definedName>
    <definedName name="_xlnm.Print_Titles" localSheetId="15">'Cash Flow'!$1:$2</definedName>
    <definedName name="_xlnm.Print_Titles" localSheetId="10">'Dev Budget'!$1:$1</definedName>
    <definedName name="_xlnm.Print_Titles" localSheetId="9">'Dev Sources'!$1:$2</definedName>
    <definedName name="_xlnm.Print_Titles" localSheetId="1">'General '!$12:$12</definedName>
    <definedName name="_xlnm.Print_Titles" localSheetId="4">Misc.!$1:$2</definedName>
    <definedName name="_xlnm.Print_Titles" localSheetId="14">'Operating '!$1:$2</definedName>
    <definedName name="_xlnm.Print_Titles" localSheetId="5">'Rents '!$1:$2</definedName>
    <definedName name="_xlnm.Print_Titles" localSheetId="3">'Site &amp; Units'!$1:$2</definedName>
    <definedName name="_xlnm.Print_Titles" localSheetId="8">Subsidies!$1:$2</definedName>
    <definedName name="ProjectCredits">'Developer Fee'!$F$2</definedName>
    <definedName name="ProjectPhase">'Developer Fee'!$C$2</definedName>
    <definedName name="ProjectType">'Developer Fee'!$D$9</definedName>
    <definedName name="Relocation_Req_d?" localSheetId="23">'Contact Names Formula'!#REF!</definedName>
    <definedName name="Relocation_Req_d?">'Drop Down'!$I$3:$I$7</definedName>
    <definedName name="Rent_Limit" localSheetId="23">'Contact Names Formula'!#REF!</definedName>
    <definedName name="Rent_Limit">'Drop Down'!$AG$3:$AG$6</definedName>
    <definedName name="Repayment_Terms_Type" localSheetId="23">'Contact Names Formula'!#REF!</definedName>
    <definedName name="Repayment_Terms_Type">'Drop Down'!$AJ$3:$AJ$14</definedName>
    <definedName name="Required_Payment" localSheetId="23">'Contact Names Formula'!#REF!</definedName>
    <definedName name="Required_Payment">'Drop Down'!$AI$3:$AI$8</definedName>
    <definedName name="Sample" localSheetId="11" hidden="1">{"Operating Budget Detail",#N/A,FALSE,"Operations"}</definedName>
    <definedName name="Sample" hidden="1">{"Operating Budget Detail",#N/A,FALSE,"Operations"}</definedName>
    <definedName name="SampleX" localSheetId="11" hidden="1">{"Operating Budget Detail",#N/A,FALSE,"Operations"}</definedName>
    <definedName name="SampleX" hidden="1">{"Operating Budget Detail",#N/A,FALSE,"Operations"}</definedName>
    <definedName name="SD_1x1_18x1_1_S_0" hidden="1">#REF!</definedName>
    <definedName name="SD_1x1_18x1_11_S_0" hidden="1">#REF!</definedName>
    <definedName name="SD_1x1_18x1_12_S_0" hidden="1">#REF!</definedName>
    <definedName name="SD_1x1_18x1_16_S_0" hidden="1">'Contact Names Formula'!$C$3</definedName>
    <definedName name="SD_1x1_18x1_3_S_0" hidden="1">#REF!</definedName>
    <definedName name="SD_1x1_18x1_5_S_0" hidden="1">#REF!</definedName>
    <definedName name="SD_1x1_18x1_6_S_152" hidden="1">#REF!</definedName>
    <definedName name="SD_1x1_18x1_7_S_0" hidden="1">#REF!</definedName>
    <definedName name="SD_1x1_18x1_9_S_0" hidden="1">#REF!</definedName>
    <definedName name="SD_1x1_20x1_1_S_0" hidden="1">#REF!</definedName>
    <definedName name="SD_1x1_20x1_11_S_0" hidden="1">#REF!</definedName>
    <definedName name="SD_1x1_20x1_12_S_0" hidden="1">#REF!</definedName>
    <definedName name="SD_1x1_20x1_28_S_0" hidden="1">'Contact Names Formula'!$C$23</definedName>
    <definedName name="SD_1x1_20x1_3_S_0" hidden="1">#REF!</definedName>
    <definedName name="SD_1x1_20x1_5_S_0" hidden="1">#REF!</definedName>
    <definedName name="SD_1x1_20x1_6_S_152" hidden="1">#REF!</definedName>
    <definedName name="SD_1x1_20x1_7_S_0" hidden="1">#REF!</definedName>
    <definedName name="SD_1x1_20x1_9_S_0" hidden="1">#REF!</definedName>
    <definedName name="SD_1x1_22x1_1_S_0" hidden="1">#REF!</definedName>
    <definedName name="SD_1x1_22x1_11_S_0" hidden="1">#REF!</definedName>
    <definedName name="SD_1x1_22x1_12_S_0" hidden="1">#REF!</definedName>
    <definedName name="SD_1x1_22x1_28_S_0" hidden="1">'Contact Names Formula'!$C$5</definedName>
    <definedName name="SD_1x1_22x1_3_S_0" hidden="1">#REF!</definedName>
    <definedName name="SD_1x1_22x1_5_S_0" hidden="1">#REF!</definedName>
    <definedName name="SD_1x1_22x1_6_S_152" hidden="1">#REF!</definedName>
    <definedName name="SD_1x1_22x1_7_S_0" hidden="1">#REF!</definedName>
    <definedName name="SD_1x1_22x1_9_S_0" hidden="1">#REF!</definedName>
    <definedName name="SD_1x1_23x1_1_S_0" hidden="1">#REF!</definedName>
    <definedName name="SD_1x1_23x1_11_S_0" hidden="1">#REF!</definedName>
    <definedName name="SD_1x1_23x1_28_S_0" hidden="1">'Contact Names Formula'!$C$6</definedName>
    <definedName name="SD_1x1_23x1_3_S_0" hidden="1">#REF!</definedName>
    <definedName name="SD_1x1_23x1_5_S_0" hidden="1">#REF!</definedName>
    <definedName name="SD_1x1_23x1_6_S_152" hidden="1">#REF!</definedName>
    <definedName name="SD_1x1_23x1_7_S_0" hidden="1">#REF!</definedName>
    <definedName name="SD_1x1_23x1_9_S_0" hidden="1">#REF!</definedName>
    <definedName name="SD_1x1_23x2_1_S_0" hidden="1">#REF!</definedName>
    <definedName name="SD_1x1_23x2_11_S_0" hidden="1">#REF!</definedName>
    <definedName name="SD_1x1_23x2_12_S_0" hidden="1">#REF!</definedName>
    <definedName name="SD_1x1_23x2_28_S_0" hidden="1">'Contact Names Formula'!$C$7</definedName>
    <definedName name="SD_1x1_23x2_3_S_0" hidden="1">#REF!</definedName>
    <definedName name="SD_1x1_23x2_5_S_0" hidden="1">#REF!</definedName>
    <definedName name="SD_1x1_23x2_6_S_152" hidden="1">#REF!</definedName>
    <definedName name="SD_1x1_23x2_7_S_0" hidden="1">#REF!</definedName>
    <definedName name="SD_1x1_23x2_9_S_0" hidden="1">#REF!</definedName>
    <definedName name="SD_1x1_23x3_1_S_0" hidden="1">#REF!</definedName>
    <definedName name="SD_1x1_23x3_11_S_0" hidden="1">#REF!</definedName>
    <definedName name="SD_1x1_23x3_12_S_0" hidden="1">#REF!</definedName>
    <definedName name="SD_1x1_23x3_28_S_0" hidden="1">'Contact Names Formula'!$C$8</definedName>
    <definedName name="SD_1x1_23x3_3_S_0" hidden="1">#REF!</definedName>
    <definedName name="SD_1x1_23x3_5_S_0" hidden="1">#REF!</definedName>
    <definedName name="SD_1x1_23x3_6_S_152" hidden="1">#REF!</definedName>
    <definedName name="SD_1x1_23x3_7_S_0" hidden="1">#REF!</definedName>
    <definedName name="SD_1x1_23x3_9_S_0" hidden="1">#REF!</definedName>
    <definedName name="SD_1x1_28_S_0" hidden="1">'General '!$K$11</definedName>
    <definedName name="SD_1x1_29x1_1_S_0" hidden="1">#REF!</definedName>
    <definedName name="SD_1x1_29x1_11_S_0" hidden="1">#REF!</definedName>
    <definedName name="SD_1x1_29x1_12_S_0" hidden="1">#REF!</definedName>
    <definedName name="SD_1x1_29x1_28_S_0" hidden="1">'Contact Names Formula'!$C$13</definedName>
    <definedName name="SD_1x1_29x1_3_S_0" hidden="1">#REF!</definedName>
    <definedName name="SD_1x1_29x1_5_S_0" hidden="1">#REF!</definedName>
    <definedName name="SD_1x1_29x1_6_S_152" hidden="1">#REF!</definedName>
    <definedName name="SD_1x1_29x1_7_S_0" hidden="1">#REF!</definedName>
    <definedName name="SD_1x1_29x1_9_S_0" hidden="1">#REF!</definedName>
    <definedName name="SD_1x1_3_S_0" hidden="1">'General '!$A$49</definedName>
    <definedName name="SD_1x1_34_S_0" hidden="1">'Narrative-Concat.'!$A$4</definedName>
    <definedName name="SD_1x1_46x1_1_S_0" hidden="1">#REF!</definedName>
    <definedName name="SD_1x1_46x1_11_S_0" hidden="1">#REF!</definedName>
    <definedName name="SD_1x1_46x1_12_S_0" hidden="1">#REF!</definedName>
    <definedName name="SD_1x1_46x1_28_S_0" hidden="1">'Contact Names Formula'!$C$22</definedName>
    <definedName name="SD_1x1_46x1_3_S_0" hidden="1">#REF!</definedName>
    <definedName name="SD_1x1_46x1_5_S_0" hidden="1">#REF!</definedName>
    <definedName name="SD_1x1_46x1_6_S_152" hidden="1">#REF!</definedName>
    <definedName name="SD_1x1_46x1_7_S_0" hidden="1">#REF!</definedName>
    <definedName name="SD_1x1_46x1_9_S_0" hidden="1">#REF!</definedName>
    <definedName name="SD_1x1_63x1_1_S_0" hidden="1">#REF!</definedName>
    <definedName name="SD_1x1_63x1_11_S_0" hidden="1">#REF!</definedName>
    <definedName name="SD_1x1_63x1_12_S_0" hidden="1">#REF!</definedName>
    <definedName name="SD_1x1_63x1_28_S_0" hidden="1">'Contact Names Formula'!$C$16</definedName>
    <definedName name="SD_1x1_63x1_3_S_0" hidden="1">#REF!</definedName>
    <definedName name="SD_1x1_63x1_5_S_0" hidden="1">#REF!</definedName>
    <definedName name="SD_1x1_63x1_6_S_152" hidden="1">#REF!</definedName>
    <definedName name="SD_1x1_63x1_7_S_0" hidden="1">#REF!</definedName>
    <definedName name="SD_1x1_63x1_9_S_0" hidden="1">#REF!</definedName>
    <definedName name="SD_1x1_64x1_1_S_0" hidden="1">#REF!</definedName>
    <definedName name="SD_1x1_64x1_11_S_0" hidden="1">#REF!</definedName>
    <definedName name="SD_1x1_64x1_12_S_0" hidden="1">#REF!</definedName>
    <definedName name="SD_1x1_64x1_28_S_0" hidden="1">'Contact Names Formula'!$C$15</definedName>
    <definedName name="SD_1x1_64x1_3_S_0" hidden="1">#REF!</definedName>
    <definedName name="SD_1x1_64x1_5_S_0" hidden="1">#REF!</definedName>
    <definedName name="SD_1x1_64x1_6_S_152" hidden="1">#REF!</definedName>
    <definedName name="SD_1x1_64x1_7_S_0" hidden="1">#REF!</definedName>
    <definedName name="SD_1x1_64x1_9_S_0" hidden="1">#REF!</definedName>
    <definedName name="SD_1x1_79x1_1_S_0" hidden="1">#REF!</definedName>
    <definedName name="SD_1x1_79x1_11_S_0" hidden="1">#REF!</definedName>
    <definedName name="SD_1x1_79x1_12_S_0" hidden="1">#REF!</definedName>
    <definedName name="SD_1x1_79x1_28_S_0" hidden="1">'Contact Names Formula'!$C$12</definedName>
    <definedName name="SD_1x1_79x1_3_S_0" hidden="1">#REF!</definedName>
    <definedName name="SD_1x1_79x1_5_S_0" hidden="1">#REF!</definedName>
    <definedName name="SD_1x1_79x1_6_S_152" hidden="1">#REF!</definedName>
    <definedName name="SD_1x1_79x1_7_S_0" hidden="1">#REF!</definedName>
    <definedName name="SD_1x1_79x1_9_S_0" hidden="1">#REF!</definedName>
    <definedName name="SD_1x1_83x1_1_S_0" hidden="1">#REF!</definedName>
    <definedName name="SD_1x1_83x1_11_S_0" hidden="1">#REF!</definedName>
    <definedName name="SD_1x1_83x1_12_S_0" hidden="1">#REF!</definedName>
    <definedName name="SD_1x1_83x1_28_S_0" hidden="1">'Contact Names Formula'!$C$14</definedName>
    <definedName name="SD_1x1_83x1_3_S_0" hidden="1">#REF!</definedName>
    <definedName name="SD_1x1_83x1_5_S_0" hidden="1">#REF!</definedName>
    <definedName name="SD_1x1_83x1_6_S_152" hidden="1">#REF!</definedName>
    <definedName name="SD_1x1_83x1_7_S_0" hidden="1">#REF!</definedName>
    <definedName name="SD_1x1_83x1_9_S_0" hidden="1">#REF!</definedName>
    <definedName name="SD_1x1_84x1_1_S_0" hidden="1">#REF!</definedName>
    <definedName name="SD_1x1_84x1_11_S_0" hidden="1">#REF!</definedName>
    <definedName name="SD_1x1_84x1_12_S_0" hidden="1">#REF!</definedName>
    <definedName name="SD_1x1_84x1_28_S_0" hidden="1">'Contact Names Formula'!$C$9</definedName>
    <definedName name="SD_1x1_84x1_3_S_0" hidden="1">#REF!</definedName>
    <definedName name="SD_1x1_84x1_5_S_0" hidden="1">#REF!</definedName>
    <definedName name="SD_1x1_84x1_6_S_152" hidden="1">#REF!</definedName>
    <definedName name="SD_1x1_84x1_7_S_0" hidden="1">#REF!</definedName>
    <definedName name="SD_1x1_84x1_9_S_0" hidden="1">#REF!</definedName>
    <definedName name="SD_1x1_84x2_1_S_0" hidden="1">#REF!</definedName>
    <definedName name="SD_1x1_84x2_11_S_0" hidden="1">#REF!</definedName>
    <definedName name="SD_1x1_84x2_12_S_0" hidden="1">#REF!</definedName>
    <definedName name="SD_1x1_84x2_28_S_0" hidden="1">'Contact Names Formula'!$C$10</definedName>
    <definedName name="SD_1x1_84x2_3_S_0" hidden="1">#REF!</definedName>
    <definedName name="SD_1x1_84x2_5_S_0" hidden="1">#REF!</definedName>
    <definedName name="SD_1x1_84x2_6_S_152" hidden="1">#REF!</definedName>
    <definedName name="SD_1x1_84x2_7_S_0" hidden="1">#REF!</definedName>
    <definedName name="SD_1x1_84x2_9_S_0" hidden="1">#REF!</definedName>
    <definedName name="SD_1x1_89x1_1_S_0" hidden="1">#REF!</definedName>
    <definedName name="SD_1x1_89x1_11_S_0" hidden="1">#REF!</definedName>
    <definedName name="SD_1x1_89x1_12_S_0" hidden="1">#REF!</definedName>
    <definedName name="SD_1x1_89x1_28_S_0" hidden="1">'Contact Names Formula'!$C$21</definedName>
    <definedName name="SD_1x1_89x1_3_S_0" hidden="1">#REF!</definedName>
    <definedName name="SD_1x1_89x1_5_S_0" hidden="1">#REF!</definedName>
    <definedName name="SD_1x1_89x1_6_S_152" hidden="1">#REF!</definedName>
    <definedName name="SD_1x1_89x1_7_S_0" hidden="1">#REF!</definedName>
    <definedName name="SD_1x1_89x1_9_S_0" hidden="1">#REF!</definedName>
    <definedName name="SD_1x1_93x1_10_S_0" hidden="1">'General '!$Y$49</definedName>
    <definedName name="SD_1x1_93x1_116x1_6_S_0" hidden="1">'Site &amp; Units'!$K$12</definedName>
    <definedName name="SD_1x1_93x1_116x1_9_S_0" hidden="1">'Site &amp; Units'!$AF$12</definedName>
    <definedName name="SD_1x1_93x1_12_S_0" hidden="1">'General '!$AE$49</definedName>
    <definedName name="SD_1x1_93x1_21_S_0" hidden="1">'Site &amp; Units'!$AI$19</definedName>
    <definedName name="SD_1x1_93x1_25_S_7" hidden="1">'General '!$AM$61</definedName>
    <definedName name="SD_1x1_93x1_26_S_86" hidden="1">'General '!$J$61</definedName>
    <definedName name="SD_1x1_93x1_27_S_148" hidden="1">'General '!$X$61</definedName>
    <definedName name="SD_1x1_93x1_30_S_0" hidden="1">'General '!$AI$51</definedName>
    <definedName name="SD_1x1_93x1_37_S_0" hidden="1">Misc.!$I$5</definedName>
    <definedName name="SD_1x1_93x1_38_S_0" hidden="1">Misc.!$I$6</definedName>
    <definedName name="SD_1x1_93x1_39_S_0" hidden="1">Misc.!$I$15</definedName>
    <definedName name="SD_1x1_93x1_42_S_0" hidden="1">'General '!$F$53</definedName>
    <definedName name="SD_1x1_93x1_45_S_0" hidden="1">'Site &amp; Units'!$T$62</definedName>
    <definedName name="SD_1x1_93x1_46_S_0" hidden="1">'Site &amp; Units'!$T$63</definedName>
    <definedName name="SD_1x1_93x1_62_S_0" hidden="1">'Site &amp; Units'!$O$66</definedName>
    <definedName name="SD_1x1_93x1_63_S_0" hidden="1">'Site &amp; Units'!$O$75</definedName>
    <definedName name="SD_1x1_93x1_64_S_0" hidden="1">'Site &amp; Units'!$O$76</definedName>
    <definedName name="SD_1x1_93x1_65_S_0" hidden="1">'Site &amp; Units'!$O$71</definedName>
    <definedName name="SD_1x1_93x1_66_S_0" hidden="1">'Site &amp; Units'!$O$72</definedName>
    <definedName name="SD_1x1_93x1_67_S_0" hidden="1">'Site &amp; Units'!$O$74</definedName>
    <definedName name="SD_1x1_93x1_68_S_0" hidden="1">'Site &amp; Units'!$O$73</definedName>
    <definedName name="SD_1x1_93x1_69_S_0" hidden="1">'Site &amp; Units'!$O$68</definedName>
    <definedName name="SD_1x1_93x1_8_S_0" hidden="1">'General '!$N$49</definedName>
    <definedName name="SD_Dropdown_148" hidden="1">SD_Dropdowns!$C$2:$D$41</definedName>
    <definedName name="SD_Dropdown_148_Name" localSheetId="11" hidden="1">[1]SD_Dropdowns!$C$2:$C$41</definedName>
    <definedName name="SD_Dropdown_148_Name" localSheetId="12" hidden="1">[2]SD_Dropdowns!$C$2:$C$41</definedName>
    <definedName name="SD_Dropdown_148_Name" hidden="1">SD_Dropdowns!$C$2:$C$41</definedName>
    <definedName name="SD_Dropdown_148_Value" hidden="1">SD_Dropdowns!$D$2:$D$41</definedName>
    <definedName name="SD_Dropdown_152" hidden="1">SD_Dropdowns!$G$2:$H$53</definedName>
    <definedName name="SD_Dropdown_152_Name" localSheetId="11" hidden="1">[1]SD_Dropdowns!$G$2:$G$53</definedName>
    <definedName name="SD_Dropdown_152_Name" localSheetId="12" hidden="1">[2]SD_Dropdowns!$G$2:$G$53</definedName>
    <definedName name="SD_Dropdown_152_Name" hidden="1">SD_Dropdowns!$G$2:$G$53</definedName>
    <definedName name="SD_Dropdown_152_Value" hidden="1">SD_Dropdowns!$H$2:$H$53</definedName>
    <definedName name="SD_Dropdown_7" hidden="1">SD_Dropdowns!$E$2:$F$82</definedName>
    <definedName name="SD_Dropdown_7_Name" localSheetId="11" hidden="1">[1]SD_Dropdowns!$E$2:$E$82</definedName>
    <definedName name="SD_Dropdown_7_Name" localSheetId="12" hidden="1">[2]SD_Dropdowns!$E$2:$E$82</definedName>
    <definedName name="SD_Dropdown_7_Name" hidden="1">SD_Dropdowns!$E$2:$E$82</definedName>
    <definedName name="SD_Dropdown_7_Value" hidden="1">SD_Dropdowns!$F$2:$F$82</definedName>
    <definedName name="SD_Dropdown_86" hidden="1">SD_Dropdowns!$A$2:$B$53</definedName>
    <definedName name="SD_Dropdown_86_Name" localSheetId="11" hidden="1">[1]SD_Dropdowns!$A$2:$A$53</definedName>
    <definedName name="SD_Dropdown_86_Name" localSheetId="12" hidden="1">[2]SD_Dropdowns!$A$2:$A$53</definedName>
    <definedName name="SD_Dropdown_86_Name" hidden="1">SD_Dropdowns!$A$2:$A$53</definedName>
    <definedName name="SD_Dropdown_86_Value" hidden="1">SD_Dropdowns!$B$2:$B$53</definedName>
    <definedName name="SenateDistrictCode" localSheetId="23">'Contact Names Formula'!#REF!</definedName>
    <definedName name="SenateDistrictCode">'Drop Down'!$U$3:$U$45</definedName>
    <definedName name="Site_Control" localSheetId="23">'Contact Names Formula'!#REF!</definedName>
    <definedName name="Site_Control">'Drop Down'!$X$3:$X$11</definedName>
    <definedName name="State_Set_Aside" localSheetId="23">'Contact Names Formula'!#REF!</definedName>
    <definedName name="State_Set_Aside">'Drop Down'!$G$3:$G$15</definedName>
    <definedName name="TblData">'TBL and High Cost Test'!$BA$1:$BK$58</definedName>
    <definedName name="TCAC_Application_Type" localSheetId="23">'Contact Names Formula'!#REF!</definedName>
    <definedName name="TCAC_Application_Type">'Drop Down'!$C$3:$C$7</definedName>
    <definedName name="TCAC_Geographical_Area" localSheetId="23">'Contact Names Formula'!#REF!</definedName>
    <definedName name="TCAC_Geographical_Area">'Drop Down'!$H$3:$H$14</definedName>
    <definedName name="TCAC_Housing_Type" localSheetId="23">'Contact Names Formula'!#REF!</definedName>
    <definedName name="TCAC_Housing_Type">'Drop Down'!$F$3:$F$8</definedName>
    <definedName name="TCAC_Type_Housing" localSheetId="23">'Contact Names Formula'!#REF!</definedName>
    <definedName name="TCAC_Type_Housing">'Drop Down'!$O$3:$O$11</definedName>
    <definedName name="TCACrents">'Rents '!$Z$38:$AF$53</definedName>
    <definedName name="Tenure_Type" localSheetId="23">'Contact Names Formula'!#REF!</definedName>
    <definedName name="Tenure_Type">'Drop Down'!$E$3:$E$6</definedName>
    <definedName name="TotalUnits">'TBL and High Cost Test'!$Y$10</definedName>
    <definedName name="Type_of_Utility" localSheetId="23">'Contact Names Formula'!#REF!</definedName>
    <definedName name="Type_of_Utility">'Drop Down'!$AC$3:$AC$7</definedName>
    <definedName name="Type_of_Utility_2" localSheetId="23">'Contact Names Formula'!#REF!</definedName>
    <definedName name="Type_of_Utility_2">'Drop Down'!$AD$3:$AD$7</definedName>
    <definedName name="Unit_Size" localSheetId="23">'Contact Names Formula'!#REF!</definedName>
    <definedName name="Unit_Size">'Drop Down'!$AA$3:$AA$10</definedName>
    <definedName name="wrn.Board._.Commitment._.Package." localSheetId="23"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1"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2"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20"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3"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2" hidden="1">{"Project Summary",#N/A,FALSE,"Project Summary";"Rent Summary",#N/A,FALSE,"Rent Summary";"Operating Budget Detail",#N/A,FALSE,"Operations";"Operating Budget Summary",#N/A,FALSE,"Operations";"Sources and Uses",#N/A,FALSE,"Sources &amp; Uses";"Cash Flow",#N/A,FALSE,"Cash Flow"}</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1"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2" hidden="1">{"Project Summary",#N/A,FALSE,"Project Summary";"Rent Summary",#N/A,FALSE,"Rent Summary";"Operating Budget Detail",#N/A,FALSE,"Operations";"Operating Budget Summary",#N/A,FALSE,"Operations";"Sources and Uses",#N/A,FALSE,"Sources &amp; Uses";"Cash Flow",#N/A,FALSE,"Cash Flow"}</definedName>
    <definedName name="wrn.Board._.Commitment._.Package._1"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1" hidden="1">{"Project Summary",#N/A,FALSE,"Project Summary";"Rent Summary",#N/A,FALSE,"Rent Summary";"Operating Budget Detail",#N/A,FALSE,"Operations";"Operating Budget Summary",#N/A,FALSE,"Operations";"Sources and Uses",#N/A,FALSE,"Sources &amp; Uses";"Cash Flow",#N/A,FALSE,"Cash Flow"}</definedName>
    <definedName name="wrn.Board._.Commitment._.Package.X" hidden="1">{"Project Summary",#N/A,FALSE,"Project Summary";"Rent Summary",#N/A,FALSE,"Rent Summary";"Operating Budget Detail",#N/A,FALSE,"Operations";"Operating Budget Summary",#N/A,FALSE,"Operations";"Sources and Uses",#N/A,FALSE,"Sources &amp; Uses";"Cash Flow",#N/A,FALSE,"Cash Flow"}</definedName>
    <definedName name="wrn.Cash._.Flow." localSheetId="23" hidden="1">{"Cash Flow",#N/A,FALSE,"Cash Flow"}</definedName>
    <definedName name="wrn.Cash._.Flow." localSheetId="11" hidden="1">{"Cash Flow",#N/A,FALSE,"Cash Flow"}</definedName>
    <definedName name="wrn.Cash._.Flow." localSheetId="2" hidden="1">{"Cash Flow",#N/A,FALSE,"Cash Flow"}</definedName>
    <definedName name="wrn.Cash._.Flow." localSheetId="20" hidden="1">{"Cash Flow",#N/A,FALSE,"Cash Flow"}</definedName>
    <definedName name="wrn.Cash._.Flow." localSheetId="3" hidden="1">{"Cash Flow",#N/A,FALSE,"Cash Flow"}</definedName>
    <definedName name="wrn.Cash._.Flow." localSheetId="12" hidden="1">{"Cash Flow",#N/A,FALSE,"Cash Flow"}</definedName>
    <definedName name="wrn.Cash._.Flow." hidden="1">{"Cash Flow",#N/A,FALSE,"Cash Flow"}</definedName>
    <definedName name="wrn.Cash._.Flow._1" localSheetId="11" hidden="1">{"Cash Flow",#N/A,FALSE,"Cash Flow"}</definedName>
    <definedName name="wrn.Cash._.Flow._1" localSheetId="12" hidden="1">{"Cash Flow",#N/A,FALSE,"Cash Flow"}</definedName>
    <definedName name="wrn.Cash._.Flow._1" hidden="1">{"Cash Flow",#N/A,FALSE,"Cash Flow"}</definedName>
    <definedName name="wrn.Cash._.Flow.X" localSheetId="11" hidden="1">{"Cash Flow",#N/A,FALSE,"Cash Flow"}</definedName>
    <definedName name="wrn.Cash._.Flow.X" hidden="1">{"Cash Flow",#N/A,FALSE,"Cash Flow"}</definedName>
    <definedName name="wrn.Construction._.Draws." localSheetId="23" hidden="1">{"Construction Draws",#N/A,FALSE,"Hard Cost Breakdown";"Hard Cost Disbursement Summary",#N/A,FALSE,"Hard Cost Breakdown"}</definedName>
    <definedName name="wrn.Construction._.Draws." localSheetId="11" hidden="1">{"Construction Draws",#N/A,FALSE,"Hard Cost Breakdown";"Hard Cost Disbursement Summary",#N/A,FALSE,"Hard Cost Breakdown"}</definedName>
    <definedName name="wrn.Construction._.Draws." localSheetId="2" hidden="1">{"Construction Draws",#N/A,FALSE,"Hard Cost Breakdown";"Hard Cost Disbursement Summary",#N/A,FALSE,"Hard Cost Breakdown"}</definedName>
    <definedName name="wrn.Construction._.Draws." localSheetId="20" hidden="1">{"Construction Draws",#N/A,FALSE,"Hard Cost Breakdown";"Hard Cost Disbursement Summary",#N/A,FALSE,"Hard Cost Breakdown"}</definedName>
    <definedName name="wrn.Construction._.Draws." localSheetId="3" hidden="1">{"Construction Draws",#N/A,FALSE,"Hard Cost Breakdown";"Hard Cost Disbursement Summary",#N/A,FALSE,"Hard Cost Breakdown"}</definedName>
    <definedName name="wrn.Construction._.Draws." localSheetId="12" hidden="1">{"Construction Draws",#N/A,FALSE,"Hard Cost Breakdown";"Hard Cost Disbursement Summary",#N/A,FALSE,"Hard Cost Breakdown"}</definedName>
    <definedName name="wrn.Construction._.Draws." hidden="1">{"Construction Draws",#N/A,FALSE,"Hard Cost Breakdown";"Hard Cost Disbursement Summary",#N/A,FALSE,"Hard Cost Breakdown"}</definedName>
    <definedName name="wrn.Construction._.Draws._1" localSheetId="11" hidden="1">{"Construction Draws",#N/A,FALSE,"Hard Cost Breakdown";"Hard Cost Disbursement Summary",#N/A,FALSE,"Hard Cost Breakdown"}</definedName>
    <definedName name="wrn.Construction._.Draws._1" localSheetId="12" hidden="1">{"Construction Draws",#N/A,FALSE,"Hard Cost Breakdown";"Hard Cost Disbursement Summary",#N/A,FALSE,"Hard Cost Breakdown"}</definedName>
    <definedName name="wrn.Construction._.Draws._1" hidden="1">{"Construction Draws",#N/A,FALSE,"Hard Cost Breakdown";"Hard Cost Disbursement Summary",#N/A,FALSE,"Hard Cost Breakdown"}</definedName>
    <definedName name="wrn.Construction._.Sources._.and._.Uses." localSheetId="23" hidden="1">{"Sources and Uses - Construction",#N/A,FALSE,"Construction S &amp; U"}</definedName>
    <definedName name="wrn.Construction._.Sources._.and._.Uses." localSheetId="11" hidden="1">{"Sources and Uses - Construction",#N/A,FALSE,"Construction S &amp; U"}</definedName>
    <definedName name="wrn.Construction._.Sources._.and._.Uses." localSheetId="2" hidden="1">{"Sources and Uses - Construction",#N/A,FALSE,"Construction S &amp; U"}</definedName>
    <definedName name="wrn.Construction._.Sources._.and._.Uses." localSheetId="20" hidden="1">{"Sources and Uses - Construction",#N/A,FALSE,"Construction S &amp; U"}</definedName>
    <definedName name="wrn.Construction._.Sources._.and._.Uses." localSheetId="3" hidden="1">{"Sources and Uses - Construction",#N/A,FALSE,"Construction S &amp; U"}</definedName>
    <definedName name="wrn.Construction._.Sources._.and._.Uses." localSheetId="12" hidden="1">{"Sources and Uses - Construction",#N/A,FALSE,"Construction S &amp; U"}</definedName>
    <definedName name="wrn.Construction._.Sources._.and._.Uses." hidden="1">{"Sources and Uses - Construction",#N/A,FALSE,"Construction S &amp; U"}</definedName>
    <definedName name="wrn.Construction._.Sources._.and._.Uses._1" localSheetId="11" hidden="1">{"Sources and Uses - Construction",#N/A,FALSE,"Construction S &amp; U"}</definedName>
    <definedName name="wrn.Construction._.Sources._.and._.Uses._1" localSheetId="12" hidden="1">{"Sources and Uses - Construction",#N/A,FALSE,"Construction S &amp; U"}</definedName>
    <definedName name="wrn.Construction._.Sources._.and._.Uses._1" hidden="1">{"Sources and Uses - Construction",#N/A,FALSE,"Construction S &amp; U"}</definedName>
    <definedName name="wrn.Exhibit._.D._.to._.Constr.._.Loan._.Agmt." localSheetId="23" hidden="1">{"Construction Sources &amp; Uses Ex. D",#N/A,FALSE,"Construction S &amp; U"}</definedName>
    <definedName name="wrn.Exhibit._.D._.to._.Constr.._.Loan._.Agmt." localSheetId="11" hidden="1">{"Construction Sources &amp; Uses Ex. D",#N/A,FALSE,"Construction S &amp; U"}</definedName>
    <definedName name="wrn.Exhibit._.D._.to._.Constr.._.Loan._.Agmt." localSheetId="2" hidden="1">{"Construction Sources &amp; Uses Ex. D",#N/A,FALSE,"Construction S &amp; U"}</definedName>
    <definedName name="wrn.Exhibit._.D._.to._.Constr.._.Loan._.Agmt." localSheetId="20" hidden="1">{"Construction Sources &amp; Uses Ex. D",#N/A,FALSE,"Construction S &amp; U"}</definedName>
    <definedName name="wrn.Exhibit._.D._.to._.Constr.._.Loan._.Agmt." localSheetId="3" hidden="1">{"Construction Sources &amp; Uses Ex. D",#N/A,FALSE,"Construction S &amp; U"}</definedName>
    <definedName name="wrn.Exhibit._.D._.to._.Constr.._.Loan._.Agmt." localSheetId="12" hidden="1">{"Construction Sources &amp; Uses Ex. D",#N/A,FALSE,"Construction S &amp; U"}</definedName>
    <definedName name="wrn.Exhibit._.D._.to._.Constr.._.Loan._.Agmt." hidden="1">{"Construction Sources &amp; Uses Ex. D",#N/A,FALSE,"Construction S &amp; U"}</definedName>
    <definedName name="wrn.Exhibit._.D._.to._.Constr.._.Loan._.Agmt._1" localSheetId="11" hidden="1">{"Construction Sources &amp; Uses Ex. D",#N/A,FALSE,"Construction S &amp; U"}</definedName>
    <definedName name="wrn.Exhibit._.D._.to._.Constr.._.Loan._.Agmt._1" localSheetId="12" hidden="1">{"Construction Sources &amp; Uses Ex. D",#N/A,FALSE,"Construction S &amp; U"}</definedName>
    <definedName name="wrn.Exhibit._.D._.to._.Constr.._.Loan._.Agmt._1" hidden="1">{"Construction Sources &amp; Uses Ex. D",#N/A,FALSE,"Construction S &amp; U"}</definedName>
    <definedName name="wrn.Input._.Information." localSheetId="23" hidden="1">{"Input Pages 1 and 2",#N/A,FALSE,"Input";"Input Pages 3 and 4",#N/A,FALSE,"Input"}</definedName>
    <definedName name="wrn.Input._.Information." localSheetId="11" hidden="1">{"Input Pages 1 and 2",#N/A,FALSE,"Input";"Input Pages 3 and 4",#N/A,FALSE,"Input"}</definedName>
    <definedName name="wrn.Input._.Information." localSheetId="2" hidden="1">{"Input Pages 1 and 2",#N/A,FALSE,"Input";"Input Pages 3 and 4",#N/A,FALSE,"Input"}</definedName>
    <definedName name="wrn.Input._.Information." localSheetId="20" hidden="1">{"Input Pages 1 and 2",#N/A,FALSE,"Input";"Input Pages 3 and 4",#N/A,FALSE,"Input"}</definedName>
    <definedName name="wrn.Input._.Information." localSheetId="3" hidden="1">{"Input Pages 1 and 2",#N/A,FALSE,"Input";"Input Pages 3 and 4",#N/A,FALSE,"Input"}</definedName>
    <definedName name="wrn.Input._.Information." localSheetId="12" hidden="1">{"Input Pages 1 and 2",#N/A,FALSE,"Input";"Input Pages 3 and 4",#N/A,FALSE,"Input"}</definedName>
    <definedName name="wrn.Input._.Information." hidden="1">{"Input Pages 1 and 2",#N/A,FALSE,"Input";"Input Pages 3 and 4",#N/A,FALSE,"Input"}</definedName>
    <definedName name="wrn.Input._.Information._1" localSheetId="11" hidden="1">{"Input Pages 1 and 2",#N/A,FALSE,"Input";"Input Pages 3 and 4",#N/A,FALSE,"Input"}</definedName>
    <definedName name="wrn.Input._.Information._1" localSheetId="12" hidden="1">{"Input Pages 1 and 2",#N/A,FALSE,"Input";"Input Pages 3 and 4",#N/A,FALSE,"Input"}</definedName>
    <definedName name="wrn.Input._.Information._1" hidden="1">{"Input Pages 1 and 2",#N/A,FALSE,"Input";"Input Pages 3 and 4",#N/A,FALSE,"Input"}</definedName>
    <definedName name="wrn.Operating._.Budget." localSheetId="23" hidden="1">{"Operating Budget Detail",#N/A,FALSE,"Operations"}</definedName>
    <definedName name="wrn.Operating._.Budget." localSheetId="11" hidden="1">{"Operating Budget Detail",#N/A,FALSE,"Operations"}</definedName>
    <definedName name="wrn.Operating._.Budget." localSheetId="2" hidden="1">{"Operating Budget Detail",#N/A,FALSE,"Operations"}</definedName>
    <definedName name="wrn.Operating._.Budget." localSheetId="20" hidden="1">{"Operating Budget Detail",#N/A,FALSE,"Operations"}</definedName>
    <definedName name="wrn.Operating._.Budget." localSheetId="3" hidden="1">{"Operating Budget Detail",#N/A,FALSE,"Operations"}</definedName>
    <definedName name="wrn.Operating._.Budget." localSheetId="12" hidden="1">{"Operating Budget Detail",#N/A,FALSE,"Operations"}</definedName>
    <definedName name="wrn.Operating._.Budget." hidden="1">{"Operating Budget Detail",#N/A,FALSE,"Operations"}</definedName>
    <definedName name="wrn.Operating._.Budget._1" localSheetId="11" hidden="1">{"Operating Budget Detail",#N/A,FALSE,"Operations"}</definedName>
    <definedName name="wrn.Operating._.Budget._1" localSheetId="12" hidden="1">{"Operating Budget Detail",#N/A,FALSE,"Operations"}</definedName>
    <definedName name="wrn.Operating._.Budget._1" hidden="1">{"Operating Budget Detail",#N/A,FALSE,"Operations"}</definedName>
    <definedName name="wrn.Perm._.Sources._.and._.Uses." localSheetId="23" hidden="1">{"Sources and Uses with Eligible Basis",#N/A,FALSE,"Sources &amp; Uses";"Disbursement Schedule",#N/A,FALSE,"Sources &amp; Uses"}</definedName>
    <definedName name="wrn.Perm._.Sources._.and._.Uses." localSheetId="11" hidden="1">{"Sources and Uses with Eligible Basis",#N/A,FALSE,"Sources &amp; Uses";"Disbursement Schedule",#N/A,FALSE,"Sources &amp; Uses"}</definedName>
    <definedName name="wrn.Perm._.Sources._.and._.Uses." localSheetId="2" hidden="1">{"Sources and Uses with Eligible Basis",#N/A,FALSE,"Sources &amp; Uses";"Disbursement Schedule",#N/A,FALSE,"Sources &amp; Uses"}</definedName>
    <definedName name="wrn.Perm._.Sources._.and._.Uses." localSheetId="20" hidden="1">{"Sources and Uses with Eligible Basis",#N/A,FALSE,"Sources &amp; Uses";"Disbursement Schedule",#N/A,FALSE,"Sources &amp; Uses"}</definedName>
    <definedName name="wrn.Perm._.Sources._.and._.Uses." localSheetId="3" hidden="1">{"Sources and Uses with Eligible Basis",#N/A,FALSE,"Sources &amp; Uses";"Disbursement Schedule",#N/A,FALSE,"Sources &amp; Uses"}</definedName>
    <definedName name="wrn.Perm._.Sources._.and._.Uses." localSheetId="12" hidden="1">{"Sources and Uses with Eligible Basis",#N/A,FALSE,"Sources &amp; Uses";"Disbursement Schedule",#N/A,FALSE,"Sources &amp; Uses"}</definedName>
    <definedName name="wrn.Perm._.Sources._.and._.Uses." hidden="1">{"Sources and Uses with Eligible Basis",#N/A,FALSE,"Sources &amp; Uses";"Disbursement Schedule",#N/A,FALSE,"Sources &amp; Uses"}</definedName>
    <definedName name="wrn.Perm._.Sources._.and._.Uses._1" localSheetId="11" hidden="1">{"Sources and Uses with Eligible Basis",#N/A,FALSE,"Sources &amp; Uses";"Disbursement Schedule",#N/A,FALSE,"Sources &amp; Uses"}</definedName>
    <definedName name="wrn.Perm._.Sources._.and._.Uses._1" localSheetId="12" hidden="1">{"Sources and Uses with Eligible Basis",#N/A,FALSE,"Sources &amp; Uses";"Disbursement Schedule",#N/A,FALSE,"Sources &amp; Uses"}</definedName>
    <definedName name="wrn.Perm._.Sources._.and._.Uses._1" hidden="1">{"Sources and Uses with Eligible Basis",#N/A,FALSE,"Sources &amp; Uses";"Disbursement Schedule",#N/A,FALSE,"Sources &amp; Uses"}</definedName>
    <definedName name="wrn.Rent._.Calcs." localSheetId="23" hidden="1">{"Rent Calcs - all rents and two subsidies",#N/A,FALSE,"Rent Calcs";"Income Limits and Maximum Rents",#N/A,FALSE,"Rent Calcs"}</definedName>
    <definedName name="wrn.Rent._.Calcs." localSheetId="11" hidden="1">{"Rent Calcs - all rents and two subsidies",#N/A,FALSE,"Rent Calcs";"Income Limits and Maximum Rents",#N/A,FALSE,"Rent Calcs"}</definedName>
    <definedName name="wrn.Rent._.Calcs." localSheetId="2" hidden="1">{"Rent Calcs - all rents and two subsidies",#N/A,FALSE,"Rent Calcs";"Income Limits and Maximum Rents",#N/A,FALSE,"Rent Calcs"}</definedName>
    <definedName name="wrn.Rent._.Calcs." localSheetId="20" hidden="1">{"Rent Calcs - all rents and two subsidies",#N/A,FALSE,"Rent Calcs";"Income Limits and Maximum Rents",#N/A,FALSE,"Rent Calcs"}</definedName>
    <definedName name="wrn.Rent._.Calcs." localSheetId="3" hidden="1">{"Rent Calcs - all rents and two subsidies",#N/A,FALSE,"Rent Calcs";"Income Limits and Maximum Rents",#N/A,FALSE,"Rent Calcs"}</definedName>
    <definedName name="wrn.Rent._.Calcs." localSheetId="12" hidden="1">{"Rent Calcs - all rents and two subsidies",#N/A,FALSE,"Rent Calcs";"Income Limits and Maximum Rents",#N/A,FALSE,"Rent Calcs"}</definedName>
    <definedName name="wrn.Rent._.Calcs." hidden="1">{"Rent Calcs - all rents and two subsidies",#N/A,FALSE,"Rent Calcs";"Income Limits and Maximum Rents",#N/A,FALSE,"Rent Calcs"}</definedName>
    <definedName name="wrn.Rent._.Calcs._1" localSheetId="11" hidden="1">{"Rent Calcs - all rents and two subsidies",#N/A,FALSE,"Rent Calcs";"Income Limits and Maximum Rents",#N/A,FALSE,"Rent Calcs"}</definedName>
    <definedName name="wrn.Rent._.Calcs._1" localSheetId="12" hidden="1">{"Rent Calcs - all rents and two subsidies",#N/A,FALSE,"Rent Calcs";"Income Limits and Maximum Rents",#N/A,FALSE,"Rent Calcs"}</definedName>
    <definedName name="wrn.Rent._.Calcs._1" hidden="1">{"Rent Calcs - all rents and two subsidies",#N/A,FALSE,"Rent Calcs";"Income Limits and Maximum Rents",#N/A,FALSE,"Rent Calcs"}</definedName>
    <definedName name="wrn.Rent._.Summary." localSheetId="23"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1"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2"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2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3"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2"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1"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2"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localSheetId="23" hidden="1">{"Sources and Uses",#N/A,FALSE,"Sources &amp; Uses";"Construction Sources &amp; Uses Ex. D",#N/A,FALSE,"Sources &amp; Uses"}</definedName>
    <definedName name="wrn.Sources._.and._.Uses." localSheetId="11" hidden="1">{"Sources and Uses",#N/A,FALSE,"Sources &amp; Uses";"Construction Sources &amp; Uses Ex. D",#N/A,FALSE,"Sources &amp; Uses"}</definedName>
    <definedName name="wrn.Sources._.and._.Uses." localSheetId="2" hidden="1">{"Sources and Uses",#N/A,FALSE,"Sources &amp; Uses";"Construction Sources &amp; Uses Ex. D",#N/A,FALSE,"Sources &amp; Uses"}</definedName>
    <definedName name="wrn.Sources._.and._.Uses." localSheetId="20" hidden="1">{"Sources and Uses",#N/A,FALSE,"Sources &amp; Uses";"Construction Sources &amp; Uses Ex. D",#N/A,FALSE,"Sources &amp; Uses"}</definedName>
    <definedName name="wrn.Sources._.and._.Uses." localSheetId="3" hidden="1">{"Sources and Uses",#N/A,FALSE,"Sources &amp; Uses";"Construction Sources &amp; Uses Ex. D",#N/A,FALSE,"Sources &amp; Uses"}</definedName>
    <definedName name="wrn.Sources._.and._.Uses." localSheetId="12" hidden="1">{"Sources and Uses",#N/A,FALSE,"Sources &amp; Uses";"Construction Sources &amp; Uses Ex. D",#N/A,FALSE,"Sources &amp; Uses"}</definedName>
    <definedName name="wrn.Sources._.and._.Uses." hidden="1">{"Sources and Uses",#N/A,FALSE,"Sources &amp; Uses";"Construction Sources &amp; Uses Ex. D",#N/A,FALSE,"Sources &amp; Uses"}</definedName>
    <definedName name="wrn.Sources._.and._.Uses._1" localSheetId="11" hidden="1">{"Sources and Uses",#N/A,FALSE,"Sources &amp; Uses";"Construction Sources &amp; Uses Ex. D",#N/A,FALSE,"Sources &amp; Uses"}</definedName>
    <definedName name="wrn.Sources._.and._.Uses._1" localSheetId="12" hidden="1">{"Sources and Uses",#N/A,FALSE,"Sources &amp; Uses";"Construction Sources &amp; Uses Ex. D",#N/A,FALSE,"Sources &amp; Uses"}</definedName>
    <definedName name="wrn.Sources._.and._.Uses._1" hidden="1">{"Sources and Uses",#N/A,FALSE,"Sources &amp; Uses";"Construction Sources &amp; Uses Ex. D",#N/A,FALSE,"Sources &amp; Uses"}</definedName>
    <definedName name="wrn.Subsidy._.Costs._.to._.CalHFA." localSheetId="23" hidden="1">{"Subsidy",#N/A,FALSE,"Subisdy"}</definedName>
    <definedName name="wrn.Subsidy._.Costs._.to._.CalHFA." localSheetId="11" hidden="1">{"Subsidy",#N/A,FALSE,"Subisdy"}</definedName>
    <definedName name="wrn.Subsidy._.Costs._.to._.CalHFA." localSheetId="2" hidden="1">{"Subsidy",#N/A,FALSE,"Subisdy"}</definedName>
    <definedName name="wrn.Subsidy._.Costs._.to._.CalHFA." localSheetId="20" hidden="1">{"Subsidy",#N/A,FALSE,"Subisdy"}</definedName>
    <definedName name="wrn.Subsidy._.Costs._.to._.CalHFA." localSheetId="3" hidden="1">{"Subsidy",#N/A,FALSE,"Subisdy"}</definedName>
    <definedName name="wrn.Subsidy._.Costs._.to._.CalHFA." localSheetId="12" hidden="1">{"Subsidy",#N/A,FALSE,"Subisdy"}</definedName>
    <definedName name="wrn.Subsidy._.Costs._.to._.CalHFA." hidden="1">{"Subsidy",#N/A,FALSE,"Subisdy"}</definedName>
    <definedName name="wrn.Subsidy._.Costs._.to._.CalHFA._1" localSheetId="11" hidden="1">{"Subsidy",#N/A,FALSE,"Subisdy"}</definedName>
    <definedName name="wrn.Subsidy._.Costs._.to._.CalHFA._1" localSheetId="12" hidden="1">{"Subsidy",#N/A,FALSE,"Subisdy"}</definedName>
    <definedName name="wrn.Subsidy._.Costs._.to._.CalHFA._1" hidden="1">{"Subsidy",#N/A,FALSE,"Subisdy"}</definedName>
    <definedName name="wrn.TEFRA._.INFO." localSheetId="23" hidden="1">{"TEFRA INFO",#N/A,FALSE,"Input"}</definedName>
    <definedName name="wrn.TEFRA._.INFO." localSheetId="11" hidden="1">{"TEFRA INFO",#N/A,FALSE,"Input"}</definedName>
    <definedName name="wrn.TEFRA._.INFO." localSheetId="2" hidden="1">{"TEFRA INFO",#N/A,FALSE,"Input"}</definedName>
    <definedName name="wrn.TEFRA._.INFO." localSheetId="20" hidden="1">{"TEFRA INFO",#N/A,FALSE,"Input"}</definedName>
    <definedName name="wrn.TEFRA._.INFO." localSheetId="3" hidden="1">{"TEFRA INFO",#N/A,FALSE,"Input"}</definedName>
    <definedName name="wrn.TEFRA._.INFO." localSheetId="12" hidden="1">{"TEFRA INFO",#N/A,FALSE,"Input"}</definedName>
    <definedName name="wrn.TEFRA._.INFO." hidden="1">{"TEFRA INFO",#N/A,FALSE,"Input"}</definedName>
    <definedName name="wrn.TEFRA._.INFO._1" localSheetId="11" hidden="1">{"TEFRA INFO",#N/A,FALSE,"Input"}</definedName>
    <definedName name="wrn.TEFRA._.INFO._1" localSheetId="12" hidden="1">{"TEFRA INFO",#N/A,FALSE,"Input"}</definedName>
    <definedName name="wrn.TEFRA._.INFO._1" hidden="1">{"TEFRA INFO",#N/A,FALSE,"Input"}</definedName>
    <definedName name="wrn.Underwriting._.View." localSheetId="23"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2"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2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3"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2"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2"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Yes_No" localSheetId="23">'Contact Names Formula'!#REF!</definedName>
    <definedName name="Yes_No">'Drop Down'!$K$3:$K$4</definedName>
    <definedName name="Z_48A1B9AA_9520_4513_968D_1FB22989E0AF_.wvu.Cols" localSheetId="10" hidden="1">'Dev Budget'!#REF!</definedName>
    <definedName name="Z_48A1B9AA_9520_4513_968D_1FB22989E0AF_.wvu.PrintArea" localSheetId="10" hidden="1">'Dev Budget'!$A$1:$F$112</definedName>
    <definedName name="Z_48A1B9AA_9520_4513_968D_1FB22989E0AF_.wvu.PrintTitles" localSheetId="10" hidden="1">'Dev Budget'!$1:$1</definedName>
    <definedName name="Z_84F316A4_6238_48E1_8EDF_C2D46DC50E22_.wvu.Cols" localSheetId="11" hidden="1">'Developer Fee'!$P:$HU</definedName>
    <definedName name="Z_E7FF1637_BF68_472E_9EDD_D742175AC7C6_.wvu.PrintArea" localSheetId="11" hidden="1">'Developer Fee'!$A$2:$I$25</definedName>
    <definedName name="Z_EE5380CF_C0CC_4223_9151_8148B1DCEC52_.wvu.Cols" localSheetId="11" hidden="1">'Developer Fee'!$P:$HU</definedName>
  </definedNames>
  <calcPr calcId="162913" iterate="1" concurrentCalc="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2" i="46" l="1"/>
  <c r="F1" i="47"/>
  <c r="E1" i="47"/>
  <c r="B54" i="47"/>
  <c r="B36" i="47"/>
  <c r="B23" i="47"/>
  <c r="B94" i="47"/>
  <c r="B37" i="47"/>
  <c r="B24" i="47"/>
  <c r="A1" i="46"/>
  <c r="B50" i="47"/>
  <c r="W60" i="11"/>
  <c r="V60" i="11"/>
  <c r="U60" i="11"/>
  <c r="T60" i="11"/>
  <c r="S60" i="11"/>
  <c r="R60" i="11"/>
  <c r="Q60" i="11"/>
  <c r="P60" i="11"/>
  <c r="O60" i="11"/>
  <c r="N60" i="11"/>
  <c r="M60" i="11"/>
  <c r="L60" i="11"/>
  <c r="K60" i="11"/>
  <c r="J60" i="11"/>
  <c r="I60" i="11"/>
  <c r="H60" i="11"/>
  <c r="G60" i="11"/>
  <c r="F60" i="11"/>
  <c r="E60" i="11"/>
  <c r="D60" i="11"/>
  <c r="F2" i="49"/>
  <c r="C3" i="50"/>
  <c r="H26" i="50"/>
  <c r="B6" i="50"/>
  <c r="Y9" i="49"/>
  <c r="Y8" i="49"/>
  <c r="Y7" i="49"/>
  <c r="Y6" i="49"/>
  <c r="Y5" i="49"/>
  <c r="AJ2" i="49"/>
  <c r="I7" i="49"/>
  <c r="I6" i="49"/>
  <c r="I9" i="49"/>
  <c r="I8" i="49"/>
  <c r="H15" i="50"/>
  <c r="AO3" i="49"/>
  <c r="AF3" i="49"/>
  <c r="AA3" i="49"/>
  <c r="U3" i="49"/>
  <c r="AT2" i="49"/>
  <c r="H54" i="50"/>
  <c r="G50" i="50"/>
  <c r="G49" i="50"/>
  <c r="G44" i="50"/>
  <c r="G43" i="50"/>
  <c r="P37" i="50"/>
  <c r="K37" i="50"/>
  <c r="P36" i="50"/>
  <c r="K36" i="50"/>
  <c r="A36" i="50"/>
  <c r="H34" i="50"/>
  <c r="P29" i="50"/>
  <c r="L29" i="50"/>
  <c r="K29" i="50"/>
  <c r="H29" i="50"/>
  <c r="K28" i="50"/>
  <c r="P27" i="50"/>
  <c r="L27" i="50"/>
  <c r="K27" i="50"/>
  <c r="O26" i="50"/>
  <c r="M26" i="50"/>
  <c r="L26" i="50"/>
  <c r="K26" i="50"/>
  <c r="T25" i="50"/>
  <c r="Q25" i="50"/>
  <c r="P25" i="50"/>
  <c r="O25" i="50"/>
  <c r="N25" i="50"/>
  <c r="L25" i="50"/>
  <c r="P24" i="50"/>
  <c r="L24" i="50"/>
  <c r="K24" i="50"/>
  <c r="B24" i="50"/>
  <c r="B20" i="50"/>
  <c r="P19" i="50"/>
  <c r="K19" i="50"/>
  <c r="B16" i="50"/>
  <c r="P15" i="50"/>
  <c r="K15" i="50"/>
  <c r="E15" i="50"/>
  <c r="P14" i="50"/>
  <c r="P13" i="50"/>
  <c r="F13" i="50"/>
  <c r="T11" i="50"/>
  <c r="S11" i="50"/>
  <c r="P11" i="50"/>
  <c r="P16" i="50"/>
  <c r="L11" i="50"/>
  <c r="K11" i="50"/>
  <c r="K16" i="50"/>
  <c r="S10" i="50"/>
  <c r="O10" i="50"/>
  <c r="T10" i="50"/>
  <c r="D9" i="50"/>
  <c r="B27" i="50"/>
  <c r="P8" i="50"/>
  <c r="K8" i="50"/>
  <c r="A8" i="50"/>
  <c r="B5" i="50"/>
  <c r="H51" i="50"/>
  <c r="H45" i="50"/>
  <c r="B25" i="50"/>
  <c r="B12" i="50"/>
  <c r="O16" i="50"/>
  <c r="B26" i="50"/>
  <c r="I9" i="50"/>
  <c r="O15" i="50"/>
  <c r="B28" i="50"/>
  <c r="B29" i="50"/>
  <c r="H56" i="50"/>
  <c r="T15" i="50"/>
  <c r="T16" i="50"/>
  <c r="A53" i="49"/>
  <c r="AX50" i="49"/>
  <c r="AL47" i="49"/>
  <c r="AL44" i="49"/>
  <c r="AO43" i="49"/>
  <c r="AL42" i="49"/>
  <c r="AL40" i="49"/>
  <c r="AL38" i="49"/>
  <c r="AL36" i="49"/>
  <c r="AL34" i="49"/>
  <c r="AL32" i="49"/>
  <c r="AL30" i="49"/>
  <c r="AL28" i="49"/>
  <c r="AL26" i="49"/>
  <c r="AO20" i="49"/>
  <c r="AO19" i="49"/>
  <c r="AY8" i="49"/>
  <c r="AY9" i="49"/>
  <c r="AY7" i="49"/>
  <c r="AX7" i="49"/>
  <c r="AX8" i="49"/>
  <c r="AY6" i="49"/>
  <c r="AX6" i="49"/>
  <c r="A52" i="49"/>
  <c r="AO7" i="49"/>
  <c r="I5" i="49"/>
  <c r="AO5" i="49"/>
  <c r="H50" i="49"/>
  <c r="AL48" i="49"/>
  <c r="AO48" i="49"/>
  <c r="AX9" i="49"/>
  <c r="AO9" i="49"/>
  <c r="AO8" i="49"/>
  <c r="B39" i="4"/>
  <c r="H39" i="4"/>
  <c r="AL49" i="49"/>
  <c r="AO13" i="49"/>
  <c r="AO21" i="49"/>
  <c r="AO17" i="49"/>
  <c r="AO15" i="49"/>
  <c r="AO23" i="49"/>
  <c r="S7" i="4"/>
  <c r="S8" i="4"/>
  <c r="S9" i="4"/>
  <c r="S10" i="4"/>
  <c r="S11" i="4"/>
  <c r="S12" i="4"/>
  <c r="S13" i="4"/>
  <c r="S14" i="4"/>
  <c r="S15" i="4"/>
  <c r="S16" i="4"/>
  <c r="S17" i="4"/>
  <c r="S18" i="4"/>
  <c r="S19" i="4"/>
  <c r="S6" i="4"/>
  <c r="F109" i="47"/>
  <c r="E109" i="47"/>
  <c r="D109" i="47"/>
  <c r="C109" i="47"/>
  <c r="B108" i="47"/>
  <c r="B107" i="47"/>
  <c r="B106" i="47"/>
  <c r="B105" i="47"/>
  <c r="B104" i="47"/>
  <c r="B103" i="47"/>
  <c r="F100" i="47"/>
  <c r="D100" i="47"/>
  <c r="C100" i="47"/>
  <c r="B99" i="47"/>
  <c r="B98" i="47"/>
  <c r="B97" i="47"/>
  <c r="B96" i="47"/>
  <c r="B95" i="47"/>
  <c r="B93" i="47"/>
  <c r="B92" i="47"/>
  <c r="B91" i="47"/>
  <c r="B90" i="47"/>
  <c r="B89" i="47"/>
  <c r="B88" i="47"/>
  <c r="B87" i="47"/>
  <c r="B86" i="47"/>
  <c r="E100" i="47"/>
  <c r="B85" i="47"/>
  <c r="B84" i="47"/>
  <c r="F82" i="47"/>
  <c r="E82" i="47"/>
  <c r="D82" i="47"/>
  <c r="C82" i="47"/>
  <c r="B81" i="47"/>
  <c r="B80" i="47"/>
  <c r="D78" i="47"/>
  <c r="C78" i="47"/>
  <c r="B77" i="47"/>
  <c r="B76" i="47"/>
  <c r="B75" i="47"/>
  <c r="B74" i="47"/>
  <c r="B73" i="47"/>
  <c r="F71" i="47"/>
  <c r="E71" i="47"/>
  <c r="D71" i="47"/>
  <c r="C71" i="47"/>
  <c r="B70" i="47"/>
  <c r="B69" i="47"/>
  <c r="D66" i="47"/>
  <c r="C66" i="47"/>
  <c r="B65" i="47"/>
  <c r="B64" i="47"/>
  <c r="B63" i="47"/>
  <c r="B62" i="47"/>
  <c r="B61" i="47"/>
  <c r="B60" i="47"/>
  <c r="B59" i="47"/>
  <c r="F57" i="47"/>
  <c r="E57" i="47"/>
  <c r="D57" i="47"/>
  <c r="C57" i="47"/>
  <c r="B56" i="47"/>
  <c r="B55" i="47"/>
  <c r="B53" i="47"/>
  <c r="B52" i="47"/>
  <c r="B51" i="47"/>
  <c r="B49" i="47"/>
  <c r="B48" i="47"/>
  <c r="B47" i="47"/>
  <c r="B46" i="47"/>
  <c r="B44" i="47"/>
  <c r="F43" i="47"/>
  <c r="E43" i="47"/>
  <c r="D43" i="47"/>
  <c r="C43" i="47"/>
  <c r="B42" i="47"/>
  <c r="B41" i="47"/>
  <c r="F39" i="47"/>
  <c r="E39" i="47"/>
  <c r="D39" i="47"/>
  <c r="C39" i="47"/>
  <c r="B38" i="47"/>
  <c r="B35" i="47"/>
  <c r="B34" i="47"/>
  <c r="B33" i="47"/>
  <c r="B32" i="47"/>
  <c r="B31" i="47"/>
  <c r="B30" i="47"/>
  <c r="B29" i="47"/>
  <c r="B27" i="47"/>
  <c r="F26" i="47"/>
  <c r="E26" i="47"/>
  <c r="D26" i="47"/>
  <c r="C26" i="47"/>
  <c r="B25" i="47"/>
  <c r="B22" i="47"/>
  <c r="B21" i="47"/>
  <c r="B20" i="47"/>
  <c r="B19" i="47"/>
  <c r="B18" i="47"/>
  <c r="B17" i="47"/>
  <c r="B16" i="47"/>
  <c r="B14" i="47"/>
  <c r="B13" i="47"/>
  <c r="B12" i="47"/>
  <c r="F10" i="47"/>
  <c r="D10" i="47"/>
  <c r="C10" i="47"/>
  <c r="B9" i="47"/>
  <c r="B8" i="47"/>
  <c r="D7" i="47"/>
  <c r="C7" i="47"/>
  <c r="B6" i="47"/>
  <c r="B5" i="47"/>
  <c r="B4" i="47"/>
  <c r="B3" i="47"/>
  <c r="D16" i="50"/>
  <c r="B78" i="47"/>
  <c r="B109" i="47"/>
  <c r="B71" i="47"/>
  <c r="B43" i="47"/>
  <c r="C67" i="47"/>
  <c r="B10" i="47"/>
  <c r="E67" i="47"/>
  <c r="E101" i="47"/>
  <c r="G25" i="50"/>
  <c r="B57" i="47"/>
  <c r="B66" i="47"/>
  <c r="B100" i="47"/>
  <c r="F67" i="47"/>
  <c r="F101" i="47"/>
  <c r="G29" i="50"/>
  <c r="I29" i="50"/>
  <c r="D67" i="47"/>
  <c r="D101" i="47"/>
  <c r="B82" i="47"/>
  <c r="B26" i="47"/>
  <c r="B39" i="47"/>
  <c r="C11" i="47"/>
  <c r="D11" i="47"/>
  <c r="B7" i="47"/>
  <c r="E113" i="47"/>
  <c r="H37" i="50"/>
  <c r="H6" i="50"/>
  <c r="E114" i="47"/>
  <c r="I37" i="50"/>
  <c r="H36" i="50"/>
  <c r="D110" i="47"/>
  <c r="G11" i="50"/>
  <c r="I11" i="50"/>
  <c r="G10" i="50"/>
  <c r="I10" i="50"/>
  <c r="G24" i="50"/>
  <c r="I24" i="50"/>
  <c r="I25" i="50"/>
  <c r="I30" i="50"/>
  <c r="H33" i="50"/>
  <c r="H35" i="50"/>
  <c r="B67" i="47"/>
  <c r="C101" i="47"/>
  <c r="C110" i="47"/>
  <c r="E110" i="47"/>
  <c r="E111" i="47"/>
  <c r="F110" i="47"/>
  <c r="F111" i="47"/>
  <c r="B11" i="47"/>
  <c r="I36" i="50"/>
  <c r="H7" i="50"/>
  <c r="H5" i="50"/>
  <c r="B110" i="47"/>
  <c r="N2" i="39"/>
  <c r="I12" i="50"/>
  <c r="G5" i="50"/>
  <c r="I5" i="50"/>
  <c r="E115" i="47"/>
  <c r="F112" i="47"/>
  <c r="B101" i="47"/>
  <c r="D77" i="11"/>
  <c r="E116" i="47"/>
  <c r="D15" i="50"/>
  <c r="AE54" i="49"/>
  <c r="AL54" i="49"/>
  <c r="V6" i="46"/>
  <c r="V7" i="46"/>
  <c r="V8" i="46"/>
  <c r="V9" i="46"/>
  <c r="Q9" i="46"/>
  <c r="Q8" i="46"/>
  <c r="Q7" i="46"/>
  <c r="Q6" i="46"/>
  <c r="N9" i="46"/>
  <c r="N8" i="46"/>
  <c r="N7" i="46"/>
  <c r="N6" i="46"/>
  <c r="K9" i="46"/>
  <c r="K8" i="46"/>
  <c r="K7" i="46"/>
  <c r="K6" i="46"/>
  <c r="H9" i="46"/>
  <c r="H8" i="46"/>
  <c r="H7" i="46"/>
  <c r="H6" i="46"/>
  <c r="E9" i="46"/>
  <c r="E8" i="46"/>
  <c r="E7" i="46"/>
  <c r="E6" i="46"/>
  <c r="R10" i="46"/>
  <c r="O10" i="46"/>
  <c r="L10" i="46"/>
  <c r="I10" i="46"/>
  <c r="F10" i="46"/>
  <c r="D10" i="46"/>
  <c r="S9" i="46"/>
  <c r="P9" i="46"/>
  <c r="M9" i="46"/>
  <c r="J9" i="46"/>
  <c r="G9" i="46"/>
  <c r="S8" i="46"/>
  <c r="P8" i="46"/>
  <c r="M8" i="46"/>
  <c r="J8" i="46"/>
  <c r="G8" i="46"/>
  <c r="S7" i="46"/>
  <c r="P7" i="46"/>
  <c r="M7" i="46"/>
  <c r="J7" i="46"/>
  <c r="G7" i="46"/>
  <c r="S6" i="46"/>
  <c r="P6" i="46"/>
  <c r="M6" i="46"/>
  <c r="J6" i="46"/>
  <c r="G6" i="46"/>
  <c r="G10" i="46"/>
  <c r="S10" i="46"/>
  <c r="M10" i="46"/>
  <c r="P10" i="46"/>
  <c r="J10" i="46"/>
  <c r="E31" i="46"/>
  <c r="E30" i="46"/>
  <c r="E29" i="46"/>
  <c r="E26" i="38"/>
  <c r="T10" i="46"/>
  <c r="C6" i="46"/>
  <c r="E39" i="46"/>
  <c r="C39" i="46"/>
  <c r="E38" i="46"/>
  <c r="C38" i="46"/>
  <c r="F38" i="46"/>
  <c r="C37" i="46"/>
  <c r="F37" i="46"/>
  <c r="G37" i="46"/>
  <c r="H37" i="46"/>
  <c r="I37" i="46"/>
  <c r="J37" i="46"/>
  <c r="K37" i="46"/>
  <c r="L37" i="46"/>
  <c r="M37" i="46"/>
  <c r="N37" i="46"/>
  <c r="O37" i="46"/>
  <c r="P37" i="46"/>
  <c r="Q37" i="46"/>
  <c r="R37" i="46"/>
  <c r="S37" i="46"/>
  <c r="T37" i="46"/>
  <c r="C17" i="46"/>
  <c r="F17" i="46"/>
  <c r="F30" i="46"/>
  <c r="A17" i="46"/>
  <c r="A30" i="46"/>
  <c r="C16" i="46"/>
  <c r="F16" i="46"/>
  <c r="G16" i="46"/>
  <c r="H16" i="46"/>
  <c r="I16" i="46"/>
  <c r="J16" i="46"/>
  <c r="K16" i="46"/>
  <c r="L16" i="46"/>
  <c r="M16" i="46"/>
  <c r="N16" i="46"/>
  <c r="O16" i="46"/>
  <c r="P16" i="46"/>
  <c r="Q16" i="46"/>
  <c r="R16" i="46"/>
  <c r="S16" i="46"/>
  <c r="T16" i="46"/>
  <c r="A16" i="46"/>
  <c r="B15" i="46"/>
  <c r="B14" i="46"/>
  <c r="D47" i="45"/>
  <c r="J46" i="45"/>
  <c r="I46" i="45"/>
  <c r="H46" i="45"/>
  <c r="G46" i="45"/>
  <c r="F46" i="45"/>
  <c r="E46" i="45"/>
  <c r="J45" i="45"/>
  <c r="I45" i="45"/>
  <c r="H45" i="45"/>
  <c r="G45" i="45"/>
  <c r="F45" i="45"/>
  <c r="E45" i="45"/>
  <c r="J44" i="45"/>
  <c r="I44" i="45"/>
  <c r="H44" i="45"/>
  <c r="G44" i="45"/>
  <c r="F44" i="45"/>
  <c r="E44" i="45"/>
  <c r="J43" i="45"/>
  <c r="I43" i="45"/>
  <c r="H43" i="45"/>
  <c r="G43" i="45"/>
  <c r="F43" i="45"/>
  <c r="E43" i="45"/>
  <c r="J42" i="45"/>
  <c r="I42" i="45"/>
  <c r="H42" i="45"/>
  <c r="G42" i="45"/>
  <c r="F42" i="45"/>
  <c r="E42" i="45"/>
  <c r="J41" i="45"/>
  <c r="I41" i="45"/>
  <c r="H41" i="45"/>
  <c r="G41" i="45"/>
  <c r="F41" i="45"/>
  <c r="E41" i="45"/>
  <c r="J40" i="45"/>
  <c r="I40" i="45"/>
  <c r="H40" i="45"/>
  <c r="B40" i="45"/>
  <c r="A40" i="45"/>
  <c r="D39" i="45"/>
  <c r="J38" i="45"/>
  <c r="I38" i="45"/>
  <c r="H38" i="45"/>
  <c r="G38" i="45"/>
  <c r="F38" i="45"/>
  <c r="E38" i="45"/>
  <c r="J37" i="45"/>
  <c r="I37" i="45"/>
  <c r="H37" i="45"/>
  <c r="G37" i="45"/>
  <c r="F37" i="45"/>
  <c r="E37" i="45"/>
  <c r="J36" i="45"/>
  <c r="I36" i="45"/>
  <c r="H36" i="45"/>
  <c r="G36" i="45"/>
  <c r="F36" i="45"/>
  <c r="E36" i="45"/>
  <c r="J35" i="45"/>
  <c r="I35" i="45"/>
  <c r="H35" i="45"/>
  <c r="G35" i="45"/>
  <c r="F35" i="45"/>
  <c r="E35" i="45"/>
  <c r="J34" i="45"/>
  <c r="I34" i="45"/>
  <c r="H34" i="45"/>
  <c r="G34" i="45"/>
  <c r="F34" i="45"/>
  <c r="E34" i="45"/>
  <c r="J33" i="45"/>
  <c r="I33" i="45"/>
  <c r="H33" i="45"/>
  <c r="G33" i="45"/>
  <c r="F33" i="45"/>
  <c r="E33" i="45"/>
  <c r="J32" i="45"/>
  <c r="I32" i="45"/>
  <c r="H32" i="45"/>
  <c r="B32" i="45"/>
  <c r="A32" i="45"/>
  <c r="D31" i="45"/>
  <c r="J30" i="45"/>
  <c r="I30" i="45"/>
  <c r="H30" i="45"/>
  <c r="G30" i="45"/>
  <c r="F30" i="45"/>
  <c r="E30" i="45"/>
  <c r="J29" i="45"/>
  <c r="I29" i="45"/>
  <c r="H29" i="45"/>
  <c r="G29" i="45"/>
  <c r="F29" i="45"/>
  <c r="E29" i="45"/>
  <c r="J28" i="45"/>
  <c r="I28" i="45"/>
  <c r="H28" i="45"/>
  <c r="G28" i="45"/>
  <c r="F28" i="45"/>
  <c r="E28" i="45"/>
  <c r="J27" i="45"/>
  <c r="I27" i="45"/>
  <c r="H27" i="45"/>
  <c r="G27" i="45"/>
  <c r="F27" i="45"/>
  <c r="E27" i="45"/>
  <c r="J26" i="45"/>
  <c r="I26" i="45"/>
  <c r="H26" i="45"/>
  <c r="G26" i="45"/>
  <c r="F26" i="45"/>
  <c r="E26" i="45"/>
  <c r="J25" i="45"/>
  <c r="I25" i="45"/>
  <c r="H25" i="45"/>
  <c r="G25" i="45"/>
  <c r="F25" i="45"/>
  <c r="E25" i="45"/>
  <c r="J24" i="45"/>
  <c r="I24" i="45"/>
  <c r="H24" i="45"/>
  <c r="B24" i="45"/>
  <c r="A24" i="45"/>
  <c r="D23" i="45"/>
  <c r="J22" i="45"/>
  <c r="I22" i="45"/>
  <c r="H22" i="45"/>
  <c r="G22" i="45"/>
  <c r="F22" i="45"/>
  <c r="E22" i="45"/>
  <c r="J21" i="45"/>
  <c r="I21" i="45"/>
  <c r="H21" i="45"/>
  <c r="G21" i="45"/>
  <c r="F21" i="45"/>
  <c r="E21" i="45"/>
  <c r="J20" i="45"/>
  <c r="I20" i="45"/>
  <c r="H20" i="45"/>
  <c r="G20" i="45"/>
  <c r="F20" i="45"/>
  <c r="E20" i="45"/>
  <c r="J19" i="45"/>
  <c r="I19" i="45"/>
  <c r="H19" i="45"/>
  <c r="G19" i="45"/>
  <c r="F19" i="45"/>
  <c r="E19" i="45"/>
  <c r="J18" i="45"/>
  <c r="I18" i="45"/>
  <c r="H18" i="45"/>
  <c r="G18" i="45"/>
  <c r="F18" i="45"/>
  <c r="E18" i="45"/>
  <c r="J17" i="45"/>
  <c r="I17" i="45"/>
  <c r="H17" i="45"/>
  <c r="G17" i="45"/>
  <c r="F17" i="45"/>
  <c r="E17" i="45"/>
  <c r="J16" i="45"/>
  <c r="I16" i="45"/>
  <c r="H16" i="45"/>
  <c r="B16" i="45"/>
  <c r="A16" i="45"/>
  <c r="D15" i="45"/>
  <c r="D48" i="45"/>
  <c r="C3" i="46"/>
  <c r="J14" i="45"/>
  <c r="I14" i="45"/>
  <c r="H14" i="45"/>
  <c r="G14" i="45"/>
  <c r="F14" i="45"/>
  <c r="E14" i="45"/>
  <c r="J13" i="45"/>
  <c r="I13" i="45"/>
  <c r="H13" i="45"/>
  <c r="G13" i="45"/>
  <c r="F13" i="45"/>
  <c r="E13" i="45"/>
  <c r="J12" i="45"/>
  <c r="I12" i="45"/>
  <c r="H12" i="45"/>
  <c r="G12" i="45"/>
  <c r="F12" i="45"/>
  <c r="E12" i="45"/>
  <c r="E11" i="45"/>
  <c r="F11" i="45"/>
  <c r="G11" i="45"/>
  <c r="J11" i="45"/>
  <c r="I11" i="45"/>
  <c r="H11" i="45"/>
  <c r="J10" i="45"/>
  <c r="I10" i="45"/>
  <c r="H10" i="45"/>
  <c r="G10" i="45"/>
  <c r="F10" i="45"/>
  <c r="E10" i="45"/>
  <c r="J9" i="45"/>
  <c r="I9" i="45"/>
  <c r="H9" i="45"/>
  <c r="G9" i="45"/>
  <c r="F9" i="45"/>
  <c r="E9" i="45"/>
  <c r="J8" i="45"/>
  <c r="I8" i="45"/>
  <c r="H8" i="45"/>
  <c r="B8" i="45"/>
  <c r="A8" i="45"/>
  <c r="A1" i="45"/>
  <c r="I31" i="45"/>
  <c r="I47" i="45"/>
  <c r="J31" i="45"/>
  <c r="I39" i="45"/>
  <c r="I15" i="45"/>
  <c r="B19" i="45"/>
  <c r="I23" i="45"/>
  <c r="G38" i="46"/>
  <c r="H38" i="46"/>
  <c r="I38" i="46"/>
  <c r="J38" i="46"/>
  <c r="K38" i="46"/>
  <c r="L38" i="46"/>
  <c r="M38" i="46"/>
  <c r="N38" i="46"/>
  <c r="O38" i="46"/>
  <c r="P38" i="46"/>
  <c r="Q38" i="46"/>
  <c r="R38" i="46"/>
  <c r="S38" i="46"/>
  <c r="T38" i="46"/>
  <c r="J39" i="45"/>
  <c r="G17" i="46"/>
  <c r="G30" i="46"/>
  <c r="J15" i="45"/>
  <c r="J47" i="45"/>
  <c r="J23" i="45"/>
  <c r="B27" i="45"/>
  <c r="B11" i="45"/>
  <c r="B35" i="45"/>
  <c r="B43" i="45"/>
  <c r="E110" i="27"/>
  <c r="E109" i="27"/>
  <c r="E108" i="27"/>
  <c r="E107" i="27"/>
  <c r="E106" i="27"/>
  <c r="E105" i="27"/>
  <c r="E104" i="27"/>
  <c r="E102" i="27"/>
  <c r="E101" i="27"/>
  <c r="E100" i="27"/>
  <c r="E99" i="27"/>
  <c r="E98" i="27"/>
  <c r="E97" i="27"/>
  <c r="E96" i="27"/>
  <c r="E94" i="27"/>
  <c r="E93" i="27"/>
  <c r="E92" i="27"/>
  <c r="E91" i="27"/>
  <c r="E90" i="27"/>
  <c r="E89" i="27"/>
  <c r="E88" i="27"/>
  <c r="E86" i="27"/>
  <c r="E85" i="27"/>
  <c r="E84" i="27"/>
  <c r="E83" i="27"/>
  <c r="E82" i="27"/>
  <c r="E81" i="27"/>
  <c r="E80" i="27"/>
  <c r="E78" i="27"/>
  <c r="E77" i="27"/>
  <c r="E76" i="27"/>
  <c r="E75" i="27"/>
  <c r="E74" i="27"/>
  <c r="E73" i="27"/>
  <c r="E72" i="27"/>
  <c r="J110" i="27"/>
  <c r="J109" i="27"/>
  <c r="J108" i="27"/>
  <c r="J107" i="27"/>
  <c r="J106" i="27"/>
  <c r="J105" i="27"/>
  <c r="J104" i="27"/>
  <c r="J102" i="27"/>
  <c r="J101" i="27"/>
  <c r="J100" i="27"/>
  <c r="J99" i="27"/>
  <c r="J98" i="27"/>
  <c r="J97" i="27"/>
  <c r="J96" i="27"/>
  <c r="J94" i="27"/>
  <c r="J93" i="27"/>
  <c r="J92" i="27"/>
  <c r="J91" i="27"/>
  <c r="J90" i="27"/>
  <c r="J89" i="27"/>
  <c r="J88" i="27"/>
  <c r="J86" i="27"/>
  <c r="J85" i="27"/>
  <c r="J84" i="27"/>
  <c r="J83" i="27"/>
  <c r="J82" i="27"/>
  <c r="J81" i="27"/>
  <c r="J80" i="27"/>
  <c r="J78" i="27"/>
  <c r="J77" i="27"/>
  <c r="J76" i="27"/>
  <c r="J75" i="27"/>
  <c r="J74" i="27"/>
  <c r="J73" i="27"/>
  <c r="J72" i="27"/>
  <c r="J70" i="27"/>
  <c r="J69" i="27"/>
  <c r="J68" i="27"/>
  <c r="J67" i="27"/>
  <c r="J66" i="27"/>
  <c r="J65" i="27"/>
  <c r="E70" i="27"/>
  <c r="E69" i="27"/>
  <c r="E68" i="27"/>
  <c r="E67" i="27"/>
  <c r="E66" i="27"/>
  <c r="E65" i="27"/>
  <c r="J64" i="27"/>
  <c r="E64" i="27"/>
  <c r="J48" i="45"/>
  <c r="F12" i="46"/>
  <c r="F28" i="46"/>
  <c r="I48" i="45"/>
  <c r="H17" i="46"/>
  <c r="H30" i="46"/>
  <c r="J56" i="27"/>
  <c r="J55" i="27"/>
  <c r="J54" i="27"/>
  <c r="J53" i="27"/>
  <c r="J52" i="27"/>
  <c r="J51" i="27"/>
  <c r="J50" i="27"/>
  <c r="J48" i="27"/>
  <c r="J47" i="27"/>
  <c r="J46" i="27"/>
  <c r="J45" i="27"/>
  <c r="J44" i="27"/>
  <c r="J43" i="27"/>
  <c r="J42" i="27"/>
  <c r="J40" i="27"/>
  <c r="J39" i="27"/>
  <c r="J38" i="27"/>
  <c r="J37" i="27"/>
  <c r="J36" i="27"/>
  <c r="J35" i="27"/>
  <c r="J34" i="27"/>
  <c r="J32" i="27"/>
  <c r="J31" i="27"/>
  <c r="J30" i="27"/>
  <c r="J29" i="27"/>
  <c r="J28" i="27"/>
  <c r="J27" i="27"/>
  <c r="J26" i="27"/>
  <c r="J24" i="27"/>
  <c r="J23" i="27"/>
  <c r="J22" i="27"/>
  <c r="J21" i="27"/>
  <c r="J20" i="27"/>
  <c r="J19" i="27"/>
  <c r="J18" i="27"/>
  <c r="E56" i="27"/>
  <c r="E55" i="27"/>
  <c r="E54" i="27"/>
  <c r="E53" i="27"/>
  <c r="E52" i="27"/>
  <c r="E51" i="27"/>
  <c r="E50" i="27"/>
  <c r="E48" i="27"/>
  <c r="E47" i="27"/>
  <c r="E46" i="27"/>
  <c r="E45" i="27"/>
  <c r="E44" i="27"/>
  <c r="E43" i="27"/>
  <c r="E42" i="27"/>
  <c r="E40" i="27"/>
  <c r="E39" i="27"/>
  <c r="E38" i="27"/>
  <c r="E37" i="27"/>
  <c r="E36" i="27"/>
  <c r="E35" i="27"/>
  <c r="E34" i="27"/>
  <c r="E32" i="27"/>
  <c r="E31" i="27"/>
  <c r="E30" i="27"/>
  <c r="E29" i="27"/>
  <c r="E28" i="27"/>
  <c r="E27" i="27"/>
  <c r="E26" i="27"/>
  <c r="E24" i="27"/>
  <c r="E23" i="27"/>
  <c r="E22" i="27"/>
  <c r="E21" i="27"/>
  <c r="E20" i="27"/>
  <c r="E19" i="27"/>
  <c r="E18" i="27"/>
  <c r="I17" i="46"/>
  <c r="I30" i="46"/>
  <c r="J17" i="46"/>
  <c r="J30" i="46"/>
  <c r="W7" i="38"/>
  <c r="T7" i="38"/>
  <c r="Q7" i="38"/>
  <c r="N7" i="38"/>
  <c r="K7" i="38"/>
  <c r="K17" i="46"/>
  <c r="K30" i="46"/>
  <c r="L17" i="46"/>
  <c r="L30" i="46"/>
  <c r="M17" i="46"/>
  <c r="M30" i="46"/>
  <c r="N17" i="46"/>
  <c r="N30" i="46"/>
  <c r="O17" i="46"/>
  <c r="O30" i="46"/>
  <c r="I7" i="38"/>
  <c r="P17" i="46"/>
  <c r="P30" i="46"/>
  <c r="H46" i="37"/>
  <c r="H45" i="37"/>
  <c r="H44" i="37"/>
  <c r="H43" i="37"/>
  <c r="H42" i="37"/>
  <c r="H41" i="37"/>
  <c r="H40" i="37"/>
  <c r="H38" i="37"/>
  <c r="H37" i="37"/>
  <c r="H36" i="37"/>
  <c r="H35" i="37"/>
  <c r="H34" i="37"/>
  <c r="H33" i="37"/>
  <c r="H32" i="37"/>
  <c r="H30" i="37"/>
  <c r="H29" i="37"/>
  <c r="H28" i="37"/>
  <c r="H27" i="37"/>
  <c r="H26" i="37"/>
  <c r="H25" i="37"/>
  <c r="H24" i="37"/>
  <c r="H22" i="37"/>
  <c r="H21" i="37"/>
  <c r="H20" i="37"/>
  <c r="H19" i="37"/>
  <c r="H18" i="37"/>
  <c r="H17" i="37"/>
  <c r="H16" i="37"/>
  <c r="H9" i="37"/>
  <c r="H10" i="37"/>
  <c r="H11" i="37"/>
  <c r="H12" i="37"/>
  <c r="H13" i="37"/>
  <c r="H14" i="37"/>
  <c r="H8" i="37"/>
  <c r="Q17" i="46"/>
  <c r="Q30" i="46"/>
  <c r="R17" i="46"/>
  <c r="R30" i="46"/>
  <c r="A12" i="24"/>
  <c r="S17" i="46"/>
  <c r="S30" i="46"/>
  <c r="A1" i="38"/>
  <c r="T17" i="46"/>
  <c r="T30" i="46"/>
  <c r="B12" i="38"/>
  <c r="B11" i="38"/>
  <c r="AU4" i="41"/>
  <c r="AU5" i="41"/>
  <c r="AU6" i="41"/>
  <c r="AU7" i="41"/>
  <c r="AU8" i="41"/>
  <c r="AU9" i="41"/>
  <c r="AU10" i="41"/>
  <c r="AU11" i="41"/>
  <c r="AU12" i="41"/>
  <c r="AT4" i="41"/>
  <c r="AT5" i="41"/>
  <c r="AT6" i="41"/>
  <c r="AT7" i="41"/>
  <c r="AT8" i="41"/>
  <c r="AT9" i="41"/>
  <c r="AT10" i="41"/>
  <c r="AT11" i="41"/>
  <c r="AT12" i="41"/>
  <c r="AS4" i="41"/>
  <c r="AS5" i="41"/>
  <c r="AS6" i="41"/>
  <c r="AS7" i="41"/>
  <c r="AS8" i="41"/>
  <c r="AS9" i="41"/>
  <c r="AS10" i="41"/>
  <c r="AS11" i="41"/>
  <c r="AS12" i="41"/>
  <c r="AR4" i="41"/>
  <c r="AR5" i="41"/>
  <c r="AR6" i="41"/>
  <c r="AR7" i="41"/>
  <c r="AR8" i="41"/>
  <c r="AR9" i="41"/>
  <c r="AR10" i="41"/>
  <c r="AR11" i="41"/>
  <c r="AR12" i="41"/>
  <c r="AC11" i="41"/>
  <c r="D104" i="9"/>
  <c r="D103" i="9"/>
  <c r="F102" i="9"/>
  <c r="D102" i="9"/>
  <c r="F105" i="9"/>
  <c r="D63" i="9"/>
  <c r="D64" i="9"/>
  <c r="AQ4" i="41"/>
  <c r="A1" i="41"/>
  <c r="AB4" i="38"/>
  <c r="M4" i="38"/>
  <c r="O4" i="38"/>
  <c r="AB5" i="38"/>
  <c r="P5" i="38"/>
  <c r="R5" i="38"/>
  <c r="AB6" i="38"/>
  <c r="S6" i="38"/>
  <c r="U6" i="38"/>
  <c r="AB3" i="38"/>
  <c r="S3" i="38"/>
  <c r="U3" i="38"/>
  <c r="E44" i="38"/>
  <c r="C44" i="38"/>
  <c r="E37" i="38"/>
  <c r="E36" i="38"/>
  <c r="E35" i="38"/>
  <c r="E46" i="38"/>
  <c r="L53" i="1"/>
  <c r="C13" i="38"/>
  <c r="F13" i="38"/>
  <c r="G13" i="38"/>
  <c r="H13" i="38"/>
  <c r="I13" i="38"/>
  <c r="J13" i="38"/>
  <c r="K13" i="38"/>
  <c r="L13" i="38"/>
  <c r="M13" i="38"/>
  <c r="N13" i="38"/>
  <c r="O13" i="38"/>
  <c r="P13" i="38"/>
  <c r="Q13" i="38"/>
  <c r="R13" i="38"/>
  <c r="S13" i="38"/>
  <c r="T13" i="38"/>
  <c r="U13" i="38"/>
  <c r="V13" i="38"/>
  <c r="W13" i="38"/>
  <c r="X13" i="38"/>
  <c r="Y13" i="38"/>
  <c r="A13" i="38"/>
  <c r="AN2" i="39"/>
  <c r="AO2" i="39"/>
  <c r="AP2" i="39"/>
  <c r="AM2" i="39"/>
  <c r="AL2" i="39"/>
  <c r="AK2" i="39"/>
  <c r="AJ2" i="39"/>
  <c r="AI2" i="39"/>
  <c r="AH2" i="39"/>
  <c r="AG2" i="39"/>
  <c r="AF2" i="39"/>
  <c r="AL1" i="39"/>
  <c r="AE2" i="39"/>
  <c r="AD2" i="39"/>
  <c r="AC2" i="39"/>
  <c r="AQ2" i="39"/>
  <c r="Z2" i="39"/>
  <c r="W2" i="39"/>
  <c r="T2" i="39"/>
  <c r="Q2" i="39"/>
  <c r="M2" i="39"/>
  <c r="L2" i="39"/>
  <c r="K2" i="39"/>
  <c r="J2" i="39"/>
  <c r="I2" i="39"/>
  <c r="H2" i="39"/>
  <c r="G2" i="39"/>
  <c r="F2" i="39"/>
  <c r="E2" i="39"/>
  <c r="D2" i="39"/>
  <c r="C2" i="39"/>
  <c r="A2" i="39"/>
  <c r="B2" i="39"/>
  <c r="A3" i="24"/>
  <c r="G52" i="27"/>
  <c r="G44" i="27"/>
  <c r="G36" i="27"/>
  <c r="G18" i="27"/>
  <c r="B40" i="37"/>
  <c r="A40" i="37"/>
  <c r="B32" i="37"/>
  <c r="A32" i="37"/>
  <c r="B24" i="37"/>
  <c r="A24" i="37"/>
  <c r="B16" i="37"/>
  <c r="A16" i="37"/>
  <c r="B8" i="37"/>
  <c r="A8" i="37"/>
  <c r="B50" i="27"/>
  <c r="A50" i="27"/>
  <c r="B42" i="27"/>
  <c r="A42" i="27"/>
  <c r="B34" i="27"/>
  <c r="A34" i="27"/>
  <c r="B26" i="27"/>
  <c r="A26" i="27"/>
  <c r="B18" i="27"/>
  <c r="A18" i="27"/>
  <c r="N56" i="27"/>
  <c r="N55" i="27"/>
  <c r="N54" i="27"/>
  <c r="N53" i="27"/>
  <c r="N52" i="27"/>
  <c r="N51" i="27"/>
  <c r="N50" i="27"/>
  <c r="N48" i="27"/>
  <c r="N47" i="27"/>
  <c r="N46" i="27"/>
  <c r="N45" i="27"/>
  <c r="N44" i="27"/>
  <c r="N43" i="27"/>
  <c r="N42" i="27"/>
  <c r="N40" i="27"/>
  <c r="N39" i="27"/>
  <c r="N38" i="27"/>
  <c r="N37" i="27"/>
  <c r="N36" i="27"/>
  <c r="N35" i="27"/>
  <c r="N34" i="27"/>
  <c r="N32" i="27"/>
  <c r="N31" i="27"/>
  <c r="N30" i="27"/>
  <c r="N29" i="27"/>
  <c r="N28" i="27"/>
  <c r="N27" i="27"/>
  <c r="N26" i="27"/>
  <c r="N24" i="27"/>
  <c r="N23" i="27"/>
  <c r="N22" i="27"/>
  <c r="N21" i="27"/>
  <c r="N20" i="27"/>
  <c r="N19" i="27"/>
  <c r="N18" i="27"/>
  <c r="AA1" i="24"/>
  <c r="D47" i="37"/>
  <c r="D39" i="37"/>
  <c r="D31" i="37"/>
  <c r="D23" i="37"/>
  <c r="D15" i="37"/>
  <c r="I8" i="37"/>
  <c r="J8" i="37"/>
  <c r="E9" i="37"/>
  <c r="F9" i="37"/>
  <c r="G9" i="37"/>
  <c r="I9" i="37"/>
  <c r="J9" i="37"/>
  <c r="I10" i="37"/>
  <c r="E11" i="37"/>
  <c r="F11" i="37"/>
  <c r="G11" i="37"/>
  <c r="I11" i="37"/>
  <c r="J11" i="37"/>
  <c r="E12" i="37"/>
  <c r="F12" i="37"/>
  <c r="G12" i="37"/>
  <c r="I12" i="37"/>
  <c r="J12" i="37"/>
  <c r="E13" i="37"/>
  <c r="F13" i="37"/>
  <c r="G13" i="37"/>
  <c r="I13" i="37"/>
  <c r="J13" i="37"/>
  <c r="E14" i="37"/>
  <c r="F14" i="37"/>
  <c r="G14" i="37"/>
  <c r="I14" i="37"/>
  <c r="J14" i="37"/>
  <c r="I16" i="37"/>
  <c r="J16" i="37"/>
  <c r="E17" i="37"/>
  <c r="F17" i="37"/>
  <c r="G17" i="37"/>
  <c r="I17" i="37"/>
  <c r="J17" i="37"/>
  <c r="I18" i="37"/>
  <c r="E19" i="37"/>
  <c r="F19" i="37"/>
  <c r="G19" i="37"/>
  <c r="I19" i="37"/>
  <c r="J19" i="37"/>
  <c r="E20" i="37"/>
  <c r="F20" i="37"/>
  <c r="G20" i="37"/>
  <c r="I20" i="37"/>
  <c r="J20" i="37"/>
  <c r="E21" i="37"/>
  <c r="F21" i="37"/>
  <c r="G21" i="37"/>
  <c r="I21" i="37"/>
  <c r="J21" i="37"/>
  <c r="E22" i="37"/>
  <c r="F22" i="37"/>
  <c r="G22" i="37"/>
  <c r="I22" i="37"/>
  <c r="J22" i="37"/>
  <c r="I24" i="37"/>
  <c r="J24" i="37"/>
  <c r="E25" i="37"/>
  <c r="F25" i="37"/>
  <c r="G25" i="37"/>
  <c r="I25" i="37"/>
  <c r="J25" i="37"/>
  <c r="I26" i="37"/>
  <c r="E27" i="37"/>
  <c r="F27" i="37"/>
  <c r="G27" i="37"/>
  <c r="I27" i="37"/>
  <c r="J27" i="37"/>
  <c r="E28" i="37"/>
  <c r="F28" i="37"/>
  <c r="G28" i="37"/>
  <c r="I28" i="37"/>
  <c r="J28" i="37"/>
  <c r="E29" i="37"/>
  <c r="F29" i="37"/>
  <c r="G29" i="37"/>
  <c r="I29" i="37"/>
  <c r="J29" i="37"/>
  <c r="E30" i="37"/>
  <c r="F30" i="37"/>
  <c r="G30" i="37"/>
  <c r="I30" i="37"/>
  <c r="J30" i="37"/>
  <c r="I32" i="37"/>
  <c r="J32" i="37"/>
  <c r="E33" i="37"/>
  <c r="F33" i="37"/>
  <c r="G33" i="37"/>
  <c r="I33" i="37"/>
  <c r="J33" i="37"/>
  <c r="E34" i="37"/>
  <c r="G34" i="37"/>
  <c r="J34" i="37"/>
  <c r="F34" i="37"/>
  <c r="I34" i="37"/>
  <c r="E35" i="37"/>
  <c r="F35" i="37"/>
  <c r="G35" i="37"/>
  <c r="I35" i="37"/>
  <c r="J35" i="37"/>
  <c r="E36" i="37"/>
  <c r="F36" i="37"/>
  <c r="G36" i="37"/>
  <c r="I36" i="37"/>
  <c r="J36" i="37"/>
  <c r="E37" i="37"/>
  <c r="F37" i="37"/>
  <c r="G37" i="37"/>
  <c r="I37" i="37"/>
  <c r="J37" i="37"/>
  <c r="E38" i="37"/>
  <c r="F38" i="37"/>
  <c r="G38" i="37"/>
  <c r="I38" i="37"/>
  <c r="J38" i="37"/>
  <c r="I40" i="37"/>
  <c r="J40" i="37"/>
  <c r="E41" i="37"/>
  <c r="F41" i="37"/>
  <c r="G41" i="37"/>
  <c r="I41" i="37"/>
  <c r="J41" i="37"/>
  <c r="E42" i="37"/>
  <c r="F42" i="37"/>
  <c r="G42" i="37"/>
  <c r="I42" i="37"/>
  <c r="J42" i="37"/>
  <c r="E43" i="37"/>
  <c r="F43" i="37"/>
  <c r="G43" i="37"/>
  <c r="I43" i="37"/>
  <c r="J43" i="37"/>
  <c r="E44" i="37"/>
  <c r="F44" i="37"/>
  <c r="G44" i="37"/>
  <c r="I44" i="37"/>
  <c r="J44" i="37"/>
  <c r="E45" i="37"/>
  <c r="F45" i="37"/>
  <c r="G45" i="37"/>
  <c r="I45" i="37"/>
  <c r="J45" i="37"/>
  <c r="E46" i="37"/>
  <c r="F46" i="37"/>
  <c r="G46" i="37"/>
  <c r="I46" i="37"/>
  <c r="J46" i="37"/>
  <c r="A1" i="37"/>
  <c r="C46" i="38"/>
  <c r="C37" i="38"/>
  <c r="C36" i="38"/>
  <c r="C34" i="38"/>
  <c r="E27" i="38"/>
  <c r="E28" i="38"/>
  <c r="C14" i="38"/>
  <c r="F14" i="38"/>
  <c r="G14" i="38"/>
  <c r="H14" i="38"/>
  <c r="I14" i="38"/>
  <c r="J14" i="38"/>
  <c r="K14" i="38"/>
  <c r="L14" i="38"/>
  <c r="M14" i="38"/>
  <c r="N14" i="38"/>
  <c r="O14" i="38"/>
  <c r="P14" i="38"/>
  <c r="Q14" i="38"/>
  <c r="R14" i="38"/>
  <c r="S14" i="38"/>
  <c r="T14" i="38"/>
  <c r="U14" i="38"/>
  <c r="V14" i="38"/>
  <c r="W14" i="38"/>
  <c r="X14" i="38"/>
  <c r="Y14" i="38"/>
  <c r="A14" i="38"/>
  <c r="A27" i="38"/>
  <c r="N105" i="27"/>
  <c r="N106" i="27"/>
  <c r="N107" i="27"/>
  <c r="N108" i="27"/>
  <c r="N109" i="27"/>
  <c r="N110" i="27"/>
  <c r="N104" i="27"/>
  <c r="N97" i="27"/>
  <c r="N98" i="27"/>
  <c r="N99" i="27"/>
  <c r="N100" i="27"/>
  <c r="N101" i="27"/>
  <c r="N102" i="27"/>
  <c r="N96" i="27"/>
  <c r="N89" i="27"/>
  <c r="N90" i="27"/>
  <c r="N91" i="27"/>
  <c r="N92" i="27"/>
  <c r="N93" i="27"/>
  <c r="N94" i="27"/>
  <c r="N88" i="27"/>
  <c r="N81" i="27"/>
  <c r="N82" i="27"/>
  <c r="N83" i="27"/>
  <c r="N84" i="27"/>
  <c r="N85" i="27"/>
  <c r="N86" i="27"/>
  <c r="N80" i="27"/>
  <c r="N73" i="27"/>
  <c r="N74" i="27"/>
  <c r="N75" i="27"/>
  <c r="N76" i="27"/>
  <c r="N77" i="27"/>
  <c r="N78" i="27"/>
  <c r="N72" i="27"/>
  <c r="N65" i="27"/>
  <c r="N66" i="27"/>
  <c r="N67" i="27"/>
  <c r="N68" i="27"/>
  <c r="N69" i="27"/>
  <c r="N70" i="27"/>
  <c r="N64" i="27"/>
  <c r="D25" i="24"/>
  <c r="D33" i="24"/>
  <c r="D41" i="24"/>
  <c r="D49" i="24"/>
  <c r="D57" i="24"/>
  <c r="D69" i="24"/>
  <c r="D77" i="24"/>
  <c r="D85" i="24"/>
  <c r="D93" i="24"/>
  <c r="D101" i="24"/>
  <c r="D109" i="24"/>
  <c r="I116" i="24"/>
  <c r="I117" i="24"/>
  <c r="I115" i="24"/>
  <c r="O21" i="4"/>
  <c r="L21" i="4"/>
  <c r="M21" i="4"/>
  <c r="K21" i="4"/>
  <c r="D46" i="11"/>
  <c r="O46" i="11"/>
  <c r="D48" i="11"/>
  <c r="Z48" i="11"/>
  <c r="G110" i="27"/>
  <c r="G109" i="27"/>
  <c r="G108" i="27"/>
  <c r="G107" i="27"/>
  <c r="G106" i="27"/>
  <c r="G105" i="27"/>
  <c r="G104" i="27"/>
  <c r="G102" i="27"/>
  <c r="G101" i="27"/>
  <c r="G100" i="27"/>
  <c r="G99" i="27"/>
  <c r="G98" i="27"/>
  <c r="G97" i="27"/>
  <c r="G96" i="27"/>
  <c r="G94" i="27"/>
  <c r="G93" i="27"/>
  <c r="G92" i="27"/>
  <c r="G91" i="27"/>
  <c r="G90" i="27"/>
  <c r="G89" i="27"/>
  <c r="G88" i="27"/>
  <c r="G86" i="27"/>
  <c r="G85" i="27"/>
  <c r="G84" i="27"/>
  <c r="G83" i="27"/>
  <c r="G82" i="27"/>
  <c r="G81" i="27"/>
  <c r="G80" i="27"/>
  <c r="G78" i="27"/>
  <c r="G77" i="27"/>
  <c r="G76" i="27"/>
  <c r="G75" i="27"/>
  <c r="G74" i="27"/>
  <c r="G73" i="27"/>
  <c r="G72" i="27"/>
  <c r="G70" i="27"/>
  <c r="G69" i="27"/>
  <c r="G68" i="27"/>
  <c r="G67" i="27"/>
  <c r="G66" i="27"/>
  <c r="G65" i="27"/>
  <c r="G64" i="27"/>
  <c r="G56" i="27"/>
  <c r="G55" i="27"/>
  <c r="G54" i="27"/>
  <c r="G53" i="27"/>
  <c r="G51" i="27"/>
  <c r="G50" i="27"/>
  <c r="G48" i="27"/>
  <c r="G47" i="27"/>
  <c r="G46" i="27"/>
  <c r="G45" i="27"/>
  <c r="G43" i="27"/>
  <c r="G42" i="27"/>
  <c r="G40" i="27"/>
  <c r="G39" i="27"/>
  <c r="G38" i="27"/>
  <c r="G37" i="27"/>
  <c r="G35" i="27"/>
  <c r="G34" i="27"/>
  <c r="G32" i="27"/>
  <c r="G31" i="27"/>
  <c r="G30" i="27"/>
  <c r="G29" i="27"/>
  <c r="G28" i="27"/>
  <c r="G27" i="27"/>
  <c r="G26" i="27"/>
  <c r="G24" i="27"/>
  <c r="G23" i="27"/>
  <c r="G22" i="27"/>
  <c r="G21" i="27"/>
  <c r="G20" i="27"/>
  <c r="G19" i="27"/>
  <c r="L110" i="27"/>
  <c r="L109" i="27"/>
  <c r="L108" i="27"/>
  <c r="L107" i="27"/>
  <c r="L106" i="27"/>
  <c r="L105" i="27"/>
  <c r="L104" i="27"/>
  <c r="L102" i="27"/>
  <c r="L101" i="27"/>
  <c r="L100" i="27"/>
  <c r="L99" i="27"/>
  <c r="L98" i="27"/>
  <c r="L97" i="27"/>
  <c r="L96" i="27"/>
  <c r="L94" i="27"/>
  <c r="L93" i="27"/>
  <c r="L92" i="27"/>
  <c r="L91" i="27"/>
  <c r="L90" i="27"/>
  <c r="L89" i="27"/>
  <c r="L88" i="27"/>
  <c r="L86" i="27"/>
  <c r="L85" i="27"/>
  <c r="L84" i="27"/>
  <c r="L83" i="27"/>
  <c r="L82" i="27"/>
  <c r="L81" i="27"/>
  <c r="L80" i="27"/>
  <c r="L78" i="27"/>
  <c r="L77" i="27"/>
  <c r="L76" i="27"/>
  <c r="L75" i="27"/>
  <c r="L74" i="27"/>
  <c r="L73" i="27"/>
  <c r="L72" i="27"/>
  <c r="L70" i="27"/>
  <c r="L69" i="27"/>
  <c r="L68" i="27"/>
  <c r="L67" i="27"/>
  <c r="L66" i="27"/>
  <c r="L65" i="27"/>
  <c r="L64" i="27"/>
  <c r="L56" i="27"/>
  <c r="L55" i="27"/>
  <c r="L54" i="27"/>
  <c r="L53" i="27"/>
  <c r="L52" i="27"/>
  <c r="L51" i="27"/>
  <c r="L50" i="27"/>
  <c r="L48" i="27"/>
  <c r="L47" i="27"/>
  <c r="L46" i="27"/>
  <c r="L45" i="27"/>
  <c r="L44" i="27"/>
  <c r="L43" i="27"/>
  <c r="L42" i="27"/>
  <c r="L40" i="27"/>
  <c r="L39" i="27"/>
  <c r="L38" i="27"/>
  <c r="L37" i="27"/>
  <c r="L36" i="27"/>
  <c r="L35" i="27"/>
  <c r="L34" i="27"/>
  <c r="L32" i="27"/>
  <c r="L31" i="27"/>
  <c r="L30" i="27"/>
  <c r="L29" i="27"/>
  <c r="L28" i="27"/>
  <c r="L27" i="27"/>
  <c r="L26" i="27"/>
  <c r="L24" i="27"/>
  <c r="L23" i="27"/>
  <c r="L22" i="27"/>
  <c r="L21" i="27"/>
  <c r="L20" i="27"/>
  <c r="L19" i="27"/>
  <c r="L18" i="27"/>
  <c r="D10" i="11"/>
  <c r="E10" i="11"/>
  <c r="F10" i="11"/>
  <c r="G10" i="11"/>
  <c r="H10" i="11"/>
  <c r="I10" i="11"/>
  <c r="J10" i="11"/>
  <c r="K10" i="11"/>
  <c r="L10" i="11"/>
  <c r="M10" i="11"/>
  <c r="N10" i="11"/>
  <c r="O10" i="11"/>
  <c r="P10" i="11"/>
  <c r="Q10" i="11"/>
  <c r="R10" i="11"/>
  <c r="S10" i="11"/>
  <c r="T10" i="11"/>
  <c r="U10" i="11"/>
  <c r="V10" i="11"/>
  <c r="W10" i="11"/>
  <c r="X10" i="11"/>
  <c r="Y10" i="11"/>
  <c r="Z10" i="11"/>
  <c r="AA10" i="11"/>
  <c r="AB10" i="11"/>
  <c r="AC10" i="11"/>
  <c r="AD10" i="11"/>
  <c r="AE10" i="11"/>
  <c r="AF10" i="11"/>
  <c r="AG10" i="11"/>
  <c r="AH10" i="11"/>
  <c r="AI10" i="11"/>
  <c r="AJ10" i="11"/>
  <c r="AK10" i="11"/>
  <c r="AL10" i="11"/>
  <c r="AM10" i="11"/>
  <c r="AN10" i="11"/>
  <c r="AO10" i="11"/>
  <c r="AP10" i="11"/>
  <c r="AQ10" i="11"/>
  <c r="J18" i="24"/>
  <c r="J27" i="24"/>
  <c r="J29" i="24"/>
  <c r="J30" i="24"/>
  <c r="J31" i="24"/>
  <c r="J32" i="24"/>
  <c r="J26" i="24"/>
  <c r="J35" i="24"/>
  <c r="J38" i="24"/>
  <c r="J39" i="24"/>
  <c r="J40" i="24"/>
  <c r="J34" i="24"/>
  <c r="J43" i="24"/>
  <c r="J46" i="24"/>
  <c r="J47" i="24"/>
  <c r="J48" i="24"/>
  <c r="J42" i="24"/>
  <c r="J51" i="24"/>
  <c r="J54" i="24"/>
  <c r="J55" i="24"/>
  <c r="J56" i="24"/>
  <c r="J50" i="24"/>
  <c r="J62" i="24"/>
  <c r="J71" i="24"/>
  <c r="J73" i="24"/>
  <c r="J74" i="24"/>
  <c r="J75" i="24"/>
  <c r="J76" i="24"/>
  <c r="J70" i="24"/>
  <c r="J79" i="24"/>
  <c r="J80" i="24"/>
  <c r="J81" i="24"/>
  <c r="J82" i="24"/>
  <c r="J83" i="24"/>
  <c r="J84" i="24"/>
  <c r="J78" i="24"/>
  <c r="J87" i="24"/>
  <c r="J88" i="24"/>
  <c r="J89" i="24"/>
  <c r="J90" i="24"/>
  <c r="J91" i="24"/>
  <c r="J92" i="24"/>
  <c r="J86" i="24"/>
  <c r="J95" i="24"/>
  <c r="J96" i="24"/>
  <c r="J97" i="24"/>
  <c r="J98" i="24"/>
  <c r="J99" i="24"/>
  <c r="J100" i="24"/>
  <c r="J94" i="24"/>
  <c r="J103" i="24"/>
  <c r="J104" i="24"/>
  <c r="J105" i="24"/>
  <c r="J106" i="24"/>
  <c r="J107" i="24"/>
  <c r="J108" i="24"/>
  <c r="J102" i="24"/>
  <c r="I112" i="24"/>
  <c r="I113" i="24"/>
  <c r="I114" i="24"/>
  <c r="I118" i="24"/>
  <c r="I119" i="24"/>
  <c r="I120" i="24"/>
  <c r="I121" i="24"/>
  <c r="I122" i="24"/>
  <c r="I123" i="24"/>
  <c r="C23" i="11"/>
  <c r="C24" i="11"/>
  <c r="C25" i="11"/>
  <c r="C26" i="11"/>
  <c r="C27" i="11"/>
  <c r="C28" i="11"/>
  <c r="D59" i="9"/>
  <c r="D82" i="9"/>
  <c r="D85" i="9"/>
  <c r="D79" i="9"/>
  <c r="D90" i="9"/>
  <c r="D77" i="9"/>
  <c r="D93" i="9"/>
  <c r="D97" i="9"/>
  <c r="D98" i="9"/>
  <c r="D35" i="11"/>
  <c r="E35" i="11"/>
  <c r="F35" i="11"/>
  <c r="G35" i="11"/>
  <c r="H35" i="11"/>
  <c r="I35" i="11"/>
  <c r="J35" i="11"/>
  <c r="K35" i="11"/>
  <c r="L35" i="11"/>
  <c r="M35" i="11"/>
  <c r="N35" i="11"/>
  <c r="O35" i="11"/>
  <c r="P35" i="11"/>
  <c r="Q35" i="11"/>
  <c r="R35" i="11"/>
  <c r="S35" i="11"/>
  <c r="T35" i="11"/>
  <c r="U35" i="11"/>
  <c r="V35" i="11"/>
  <c r="W35" i="11"/>
  <c r="X35" i="11"/>
  <c r="Y35" i="11"/>
  <c r="Z35" i="11"/>
  <c r="AA35" i="11"/>
  <c r="AB35" i="11"/>
  <c r="AC35" i="11"/>
  <c r="AD35" i="11"/>
  <c r="AE35" i="11"/>
  <c r="AF35" i="11"/>
  <c r="AG35" i="11"/>
  <c r="AH35" i="11"/>
  <c r="AI35" i="11"/>
  <c r="AJ35" i="11"/>
  <c r="AK35" i="11"/>
  <c r="AL35" i="11"/>
  <c r="AM35" i="11"/>
  <c r="AN35" i="11"/>
  <c r="AO35" i="11"/>
  <c r="AP35" i="11"/>
  <c r="AQ35" i="11"/>
  <c r="D37" i="11"/>
  <c r="E37" i="11"/>
  <c r="F37" i="11"/>
  <c r="G37" i="11"/>
  <c r="H37" i="11"/>
  <c r="I37" i="11"/>
  <c r="J37" i="11"/>
  <c r="K37" i="11"/>
  <c r="L37" i="11"/>
  <c r="M37" i="11"/>
  <c r="N37" i="11"/>
  <c r="O37" i="11"/>
  <c r="P37" i="11"/>
  <c r="Q37" i="11"/>
  <c r="R37" i="11"/>
  <c r="S37" i="11"/>
  <c r="T37" i="11"/>
  <c r="U37" i="11"/>
  <c r="V37" i="11"/>
  <c r="W37" i="11"/>
  <c r="X37" i="11"/>
  <c r="Y37" i="11"/>
  <c r="Z37" i="11"/>
  <c r="AA37" i="11"/>
  <c r="AB37" i="11"/>
  <c r="AC37" i="11"/>
  <c r="AD37" i="11"/>
  <c r="AE37" i="11"/>
  <c r="AF37" i="11"/>
  <c r="AG37" i="11"/>
  <c r="AH37" i="11"/>
  <c r="AI37" i="11"/>
  <c r="AJ37" i="11"/>
  <c r="AK37" i="11"/>
  <c r="AL37" i="11"/>
  <c r="AM37" i="11"/>
  <c r="AN37" i="11"/>
  <c r="AO37" i="11"/>
  <c r="AP37" i="11"/>
  <c r="AQ37" i="11"/>
  <c r="D38" i="11"/>
  <c r="E38" i="11"/>
  <c r="F38" i="11"/>
  <c r="G38" i="11"/>
  <c r="H38" i="11"/>
  <c r="I38" i="11"/>
  <c r="J38" i="11"/>
  <c r="K38" i="11"/>
  <c r="L38" i="11"/>
  <c r="M38" i="11"/>
  <c r="N38" i="11"/>
  <c r="O38" i="11"/>
  <c r="P38" i="11"/>
  <c r="Q38" i="11"/>
  <c r="R38" i="11"/>
  <c r="S38" i="11"/>
  <c r="T38" i="11"/>
  <c r="U38" i="11"/>
  <c r="V38" i="11"/>
  <c r="W38" i="11"/>
  <c r="X38" i="11"/>
  <c r="Y38" i="11"/>
  <c r="Z38" i="11"/>
  <c r="AA38" i="11"/>
  <c r="AB38" i="11"/>
  <c r="AC38" i="11"/>
  <c r="AD38" i="11"/>
  <c r="AE38" i="11"/>
  <c r="AF38" i="11"/>
  <c r="AG38" i="11"/>
  <c r="AH38" i="11"/>
  <c r="AI38" i="11"/>
  <c r="AJ38" i="11"/>
  <c r="AK38" i="11"/>
  <c r="AL38" i="11"/>
  <c r="AM38" i="11"/>
  <c r="AN38" i="11"/>
  <c r="AO38" i="11"/>
  <c r="AP38" i="11"/>
  <c r="AQ38" i="11"/>
  <c r="D39" i="11"/>
  <c r="E39" i="11"/>
  <c r="F39" i="11"/>
  <c r="G39" i="11"/>
  <c r="H39" i="11"/>
  <c r="I39" i="11"/>
  <c r="J39" i="11"/>
  <c r="K39" i="11"/>
  <c r="L39" i="11"/>
  <c r="M39" i="11"/>
  <c r="N39" i="11"/>
  <c r="O39" i="11"/>
  <c r="P39" i="11"/>
  <c r="Q39" i="11"/>
  <c r="R39" i="11"/>
  <c r="S39" i="11"/>
  <c r="T39" i="11"/>
  <c r="U39" i="11"/>
  <c r="V39" i="11"/>
  <c r="W39" i="11"/>
  <c r="X39" i="11"/>
  <c r="Y39" i="11"/>
  <c r="Z39" i="11"/>
  <c r="AA39" i="11"/>
  <c r="AB39" i="11"/>
  <c r="AC39" i="11"/>
  <c r="AD39" i="11"/>
  <c r="AE39" i="11"/>
  <c r="AF39" i="11"/>
  <c r="AG39" i="11"/>
  <c r="AH39" i="11"/>
  <c r="AI39" i="11"/>
  <c r="AJ39" i="11"/>
  <c r="AK39" i="11"/>
  <c r="AL39" i="11"/>
  <c r="AM39" i="11"/>
  <c r="AN39" i="11"/>
  <c r="AO39" i="11"/>
  <c r="AP39" i="11"/>
  <c r="AQ39" i="11"/>
  <c r="E69" i="9"/>
  <c r="E77" i="9"/>
  <c r="E90" i="9"/>
  <c r="E100" i="9"/>
  <c r="E108" i="9"/>
  <c r="D49" i="11"/>
  <c r="U49" i="11"/>
  <c r="D50" i="11"/>
  <c r="M50" i="11"/>
  <c r="D74" i="11"/>
  <c r="E74" i="11"/>
  <c r="F74" i="11"/>
  <c r="G74" i="11"/>
  <c r="H74" i="11"/>
  <c r="I74" i="11"/>
  <c r="J74" i="11"/>
  <c r="K74" i="11"/>
  <c r="L74" i="11"/>
  <c r="M74" i="11"/>
  <c r="N74" i="11"/>
  <c r="O74" i="11"/>
  <c r="P74" i="11"/>
  <c r="Q74" i="11"/>
  <c r="R74" i="11"/>
  <c r="S74" i="11"/>
  <c r="T74" i="11"/>
  <c r="U74" i="11"/>
  <c r="V74" i="11"/>
  <c r="W74" i="11"/>
  <c r="X74" i="11"/>
  <c r="Y74" i="11"/>
  <c r="Z74" i="11"/>
  <c r="AA74" i="11"/>
  <c r="AB74" i="11"/>
  <c r="AC74" i="11"/>
  <c r="AD74" i="11"/>
  <c r="AE74" i="11"/>
  <c r="AF74" i="11"/>
  <c r="AG74" i="11"/>
  <c r="AH74" i="11"/>
  <c r="AI74" i="11"/>
  <c r="AJ74" i="11"/>
  <c r="AK74" i="11"/>
  <c r="AL74" i="11"/>
  <c r="AM74" i="11"/>
  <c r="AN74" i="11"/>
  <c r="AO74" i="11"/>
  <c r="AP74" i="11"/>
  <c r="AQ74" i="11"/>
  <c r="N20" i="4"/>
  <c r="E4" i="24"/>
  <c r="A27" i="34"/>
  <c r="A1" i="11"/>
  <c r="A1" i="9"/>
  <c r="A1" i="4"/>
  <c r="A1" i="27"/>
  <c r="A1" i="24"/>
  <c r="A1" i="3"/>
  <c r="A1" i="28"/>
  <c r="A1" i="34"/>
  <c r="A12" i="1"/>
  <c r="D163" i="24"/>
  <c r="D158" i="24"/>
  <c r="C11" i="11"/>
  <c r="A4" i="32"/>
  <c r="J39" i="4"/>
  <c r="J40" i="4"/>
  <c r="J3" i="11"/>
  <c r="E136" i="9"/>
  <c r="M42" i="4"/>
  <c r="K8" i="27"/>
  <c r="H166" i="24"/>
  <c r="AG54" i="3"/>
  <c r="AK59" i="28"/>
  <c r="AF12" i="19"/>
  <c r="I9" i="3"/>
  <c r="I15" i="3"/>
  <c r="D124" i="24"/>
  <c r="E16" i="9"/>
  <c r="C22" i="36"/>
  <c r="C23" i="36"/>
  <c r="C21" i="36"/>
  <c r="C12" i="36"/>
  <c r="C8" i="36"/>
  <c r="C7" i="36"/>
  <c r="C4" i="36"/>
  <c r="C10" i="36"/>
  <c r="C6" i="36"/>
  <c r="C16" i="36"/>
  <c r="C15" i="36"/>
  <c r="C14" i="36"/>
  <c r="C13" i="36"/>
  <c r="C9" i="36"/>
  <c r="C5" i="36"/>
  <c r="C3" i="36"/>
  <c r="F59" i="27"/>
  <c r="F111" i="27"/>
  <c r="R2" i="39"/>
  <c r="E116" i="9"/>
  <c r="E119" i="9"/>
  <c r="D116" i="9"/>
  <c r="D119" i="9"/>
  <c r="A1" i="32"/>
  <c r="F19" i="24"/>
  <c r="F20" i="24"/>
  <c r="F21" i="24"/>
  <c r="F22" i="24"/>
  <c r="F23" i="24"/>
  <c r="F24" i="24"/>
  <c r="I24" i="24"/>
  <c r="I23" i="24"/>
  <c r="I22" i="24"/>
  <c r="I21" i="24"/>
  <c r="I19" i="24"/>
  <c r="I18" i="24"/>
  <c r="C48" i="9"/>
  <c r="A26" i="11"/>
  <c r="A11" i="11"/>
  <c r="C37" i="9"/>
  <c r="C36" i="9"/>
  <c r="L29" i="3"/>
  <c r="L31" i="3"/>
  <c r="D41" i="9"/>
  <c r="C19" i="38"/>
  <c r="F19" i="38"/>
  <c r="G19" i="38"/>
  <c r="H19" i="38"/>
  <c r="I19" i="38"/>
  <c r="J19" i="38"/>
  <c r="K19" i="38"/>
  <c r="L19" i="38"/>
  <c r="M19" i="38"/>
  <c r="N19" i="38"/>
  <c r="O19" i="38"/>
  <c r="P19" i="38"/>
  <c r="Q19" i="38"/>
  <c r="R19" i="38"/>
  <c r="S19" i="38"/>
  <c r="T19" i="38"/>
  <c r="U19" i="38"/>
  <c r="V19" i="38"/>
  <c r="W19" i="38"/>
  <c r="X19" i="38"/>
  <c r="Y19" i="38"/>
  <c r="K59" i="27"/>
  <c r="K111" i="27"/>
  <c r="U2" i="39"/>
  <c r="B8" i="11"/>
  <c r="B9" i="11"/>
  <c r="D20" i="9"/>
  <c r="E29" i="9"/>
  <c r="D127" i="9"/>
  <c r="E127" i="9"/>
  <c r="E40" i="4"/>
  <c r="I40" i="4"/>
  <c r="K40" i="4"/>
  <c r="E21" i="4"/>
  <c r="A64" i="27"/>
  <c r="B64" i="27"/>
  <c r="A72" i="27"/>
  <c r="B72" i="27"/>
  <c r="A80" i="27"/>
  <c r="B80" i="27"/>
  <c r="A88" i="27"/>
  <c r="B88" i="27"/>
  <c r="A96" i="27"/>
  <c r="B96" i="27"/>
  <c r="A104" i="27"/>
  <c r="B104" i="27"/>
  <c r="I20" i="24"/>
  <c r="I26" i="24"/>
  <c r="E27" i="24"/>
  <c r="F27" i="24"/>
  <c r="G27" i="24"/>
  <c r="I27" i="24"/>
  <c r="I28" i="24"/>
  <c r="E29" i="24"/>
  <c r="F29" i="24"/>
  <c r="G29" i="24"/>
  <c r="I29" i="24"/>
  <c r="E30" i="24"/>
  <c r="F30" i="24"/>
  <c r="G30" i="24"/>
  <c r="I30" i="24"/>
  <c r="E31" i="24"/>
  <c r="F31" i="24"/>
  <c r="G31" i="24"/>
  <c r="I31" i="24"/>
  <c r="E32" i="24"/>
  <c r="F32" i="24"/>
  <c r="G32" i="24"/>
  <c r="I32" i="24"/>
  <c r="E45" i="24"/>
  <c r="G45" i="24"/>
  <c r="J45" i="24"/>
  <c r="I34" i="24"/>
  <c r="E35" i="24"/>
  <c r="F35" i="24"/>
  <c r="G35" i="24"/>
  <c r="I35" i="24"/>
  <c r="I36" i="24"/>
  <c r="I37" i="24"/>
  <c r="E38" i="24"/>
  <c r="F38" i="24"/>
  <c r="G38" i="24"/>
  <c r="I38" i="24"/>
  <c r="E39" i="24"/>
  <c r="F39" i="24"/>
  <c r="G39" i="24"/>
  <c r="I39" i="24"/>
  <c r="E40" i="24"/>
  <c r="F40" i="24"/>
  <c r="G40" i="24"/>
  <c r="I40" i="24"/>
  <c r="I42" i="24"/>
  <c r="E43" i="24"/>
  <c r="F43" i="24"/>
  <c r="G43" i="24"/>
  <c r="I43" i="24"/>
  <c r="I44" i="24"/>
  <c r="F45" i="24"/>
  <c r="I45" i="24"/>
  <c r="E46" i="24"/>
  <c r="F46" i="24"/>
  <c r="G46" i="24"/>
  <c r="I46" i="24"/>
  <c r="E47" i="24"/>
  <c r="F47" i="24"/>
  <c r="G47" i="24"/>
  <c r="I47" i="24"/>
  <c r="E48" i="24"/>
  <c r="F48" i="24"/>
  <c r="G48" i="24"/>
  <c r="I48" i="24"/>
  <c r="I50" i="24"/>
  <c r="E51" i="24"/>
  <c r="F51" i="24"/>
  <c r="G51" i="24"/>
  <c r="I51" i="24"/>
  <c r="I52" i="24"/>
  <c r="E53" i="24"/>
  <c r="G53" i="24"/>
  <c r="J53" i="24"/>
  <c r="F53" i="24"/>
  <c r="I53" i="24"/>
  <c r="E54" i="24"/>
  <c r="F54" i="24"/>
  <c r="G54" i="24"/>
  <c r="I54" i="24"/>
  <c r="E55" i="24"/>
  <c r="F55" i="24"/>
  <c r="G55" i="24"/>
  <c r="I55" i="24"/>
  <c r="E56" i="24"/>
  <c r="F56" i="24"/>
  <c r="G56" i="24"/>
  <c r="I56" i="24"/>
  <c r="I62" i="24"/>
  <c r="E63" i="24"/>
  <c r="F63" i="24"/>
  <c r="G63" i="24"/>
  <c r="J63" i="24"/>
  <c r="I63" i="24"/>
  <c r="I64" i="24"/>
  <c r="E65" i="24"/>
  <c r="G65" i="24"/>
  <c r="J65" i="24"/>
  <c r="F65" i="24"/>
  <c r="I65" i="24"/>
  <c r="E66" i="24"/>
  <c r="G66" i="24"/>
  <c r="J66" i="24"/>
  <c r="F66" i="24"/>
  <c r="I66" i="24"/>
  <c r="E67" i="24"/>
  <c r="G67" i="24"/>
  <c r="J67" i="24"/>
  <c r="F67" i="24"/>
  <c r="I67" i="24"/>
  <c r="E68" i="24"/>
  <c r="G68" i="24"/>
  <c r="J68" i="24"/>
  <c r="F68" i="24"/>
  <c r="I68" i="24"/>
  <c r="I70" i="24"/>
  <c r="E71" i="24"/>
  <c r="F71" i="24"/>
  <c r="G71" i="24"/>
  <c r="I71" i="24"/>
  <c r="I72" i="24"/>
  <c r="E73" i="24"/>
  <c r="F73" i="24"/>
  <c r="G73" i="24"/>
  <c r="I73" i="24"/>
  <c r="E74" i="24"/>
  <c r="F74" i="24"/>
  <c r="G74" i="24"/>
  <c r="I74" i="24"/>
  <c r="E75" i="24"/>
  <c r="F75" i="24"/>
  <c r="G75" i="24"/>
  <c r="I75" i="24"/>
  <c r="E76" i="24"/>
  <c r="F76" i="24"/>
  <c r="G76" i="24"/>
  <c r="I76" i="24"/>
  <c r="I78" i="24"/>
  <c r="E79" i="24"/>
  <c r="F79" i="24"/>
  <c r="G79" i="24"/>
  <c r="I79" i="24"/>
  <c r="E80" i="24"/>
  <c r="F80" i="24"/>
  <c r="G80" i="24"/>
  <c r="I80" i="24"/>
  <c r="E81" i="24"/>
  <c r="F81" i="24"/>
  <c r="G81" i="24"/>
  <c r="I81" i="24"/>
  <c r="E82" i="24"/>
  <c r="F82" i="24"/>
  <c r="G82" i="24"/>
  <c r="I82" i="24"/>
  <c r="E83" i="24"/>
  <c r="F83" i="24"/>
  <c r="G83" i="24"/>
  <c r="I83" i="24"/>
  <c r="E84" i="24"/>
  <c r="F84" i="24"/>
  <c r="G84" i="24"/>
  <c r="I84" i="24"/>
  <c r="I86" i="24"/>
  <c r="E87" i="24"/>
  <c r="F87" i="24"/>
  <c r="G87" i="24"/>
  <c r="I87" i="24"/>
  <c r="E88" i="24"/>
  <c r="F88" i="24"/>
  <c r="G88" i="24"/>
  <c r="I88" i="24"/>
  <c r="E89" i="24"/>
  <c r="F89" i="24"/>
  <c r="G89" i="24"/>
  <c r="I89" i="24"/>
  <c r="E90" i="24"/>
  <c r="F90" i="24"/>
  <c r="G90" i="24"/>
  <c r="I90" i="24"/>
  <c r="E91" i="24"/>
  <c r="F91" i="24"/>
  <c r="G91" i="24"/>
  <c r="I91" i="24"/>
  <c r="E92" i="24"/>
  <c r="F92" i="24"/>
  <c r="G92" i="24"/>
  <c r="I92" i="24"/>
  <c r="I94" i="24"/>
  <c r="E95" i="24"/>
  <c r="F95" i="24"/>
  <c r="G95" i="24"/>
  <c r="I95" i="24"/>
  <c r="E96" i="24"/>
  <c r="F96" i="24"/>
  <c r="G96" i="24"/>
  <c r="I96" i="24"/>
  <c r="E97" i="24"/>
  <c r="F97" i="24"/>
  <c r="G97" i="24"/>
  <c r="I97" i="24"/>
  <c r="E98" i="24"/>
  <c r="F98" i="24"/>
  <c r="G98" i="24"/>
  <c r="I98" i="24"/>
  <c r="E99" i="24"/>
  <c r="F99" i="24"/>
  <c r="G99" i="24"/>
  <c r="I99" i="24"/>
  <c r="E100" i="24"/>
  <c r="F100" i="24"/>
  <c r="G100" i="24"/>
  <c r="I100" i="24"/>
  <c r="I102" i="24"/>
  <c r="E103" i="24"/>
  <c r="F103" i="24"/>
  <c r="G103" i="24"/>
  <c r="I103" i="24"/>
  <c r="E104" i="24"/>
  <c r="F104" i="24"/>
  <c r="G104" i="24"/>
  <c r="I104" i="24"/>
  <c r="E105" i="24"/>
  <c r="F105" i="24"/>
  <c r="G105" i="24"/>
  <c r="I105" i="24"/>
  <c r="E106" i="24"/>
  <c r="F106" i="24"/>
  <c r="G106" i="24"/>
  <c r="I106" i="24"/>
  <c r="E107" i="24"/>
  <c r="F107" i="24"/>
  <c r="G107" i="24"/>
  <c r="I107" i="24"/>
  <c r="E108" i="24"/>
  <c r="F108" i="24"/>
  <c r="G108" i="24"/>
  <c r="I108" i="24"/>
  <c r="G154" i="24"/>
  <c r="G155" i="24"/>
  <c r="G156" i="24"/>
  <c r="G157" i="24"/>
  <c r="G158" i="24"/>
  <c r="G159" i="24"/>
  <c r="G160" i="24"/>
  <c r="X10" i="3"/>
  <c r="X15" i="3"/>
  <c r="AK11" i="3"/>
  <c r="AL16" i="3"/>
  <c r="L33" i="3"/>
  <c r="L35" i="3"/>
  <c r="E41" i="9"/>
  <c r="AK26" i="3"/>
  <c r="L27" i="3"/>
  <c r="D40" i="9"/>
  <c r="D15" i="11"/>
  <c r="E15" i="11"/>
  <c r="AK27" i="3"/>
  <c r="AK28" i="3"/>
  <c r="AK29" i="3"/>
  <c r="AK31" i="3"/>
  <c r="AK32" i="3"/>
  <c r="AK33" i="3"/>
  <c r="AK34" i="3"/>
  <c r="X49" i="3"/>
  <c r="AA49" i="3"/>
  <c r="F10" i="37"/>
  <c r="AD49" i="3"/>
  <c r="F37" i="24"/>
  <c r="AG49" i="3"/>
  <c r="AJ49" i="3"/>
  <c r="AM49" i="3"/>
  <c r="Z37" i="28"/>
  <c r="AC37" i="28"/>
  <c r="Z38" i="28"/>
  <c r="X2" i="39"/>
  <c r="AC38" i="28"/>
  <c r="J49" i="28"/>
  <c r="M49" i="28"/>
  <c r="Q49" i="28"/>
  <c r="T49" i="28"/>
  <c r="AM53" i="28"/>
  <c r="N21" i="4"/>
  <c r="AO49" i="11"/>
  <c r="E36" i="24"/>
  <c r="G36" i="24"/>
  <c r="J36" i="24"/>
  <c r="E10" i="37"/>
  <c r="F36" i="24"/>
  <c r="G10" i="37"/>
  <c r="J10" i="37"/>
  <c r="S46" i="11"/>
  <c r="AF46" i="11"/>
  <c r="Y46" i="11"/>
  <c r="AE46" i="11"/>
  <c r="F46" i="11"/>
  <c r="E46" i="11"/>
  <c r="I46" i="11"/>
  <c r="AC46" i="11"/>
  <c r="AJ46" i="11"/>
  <c r="AL48" i="11"/>
  <c r="AD49" i="11"/>
  <c r="AA48" i="11"/>
  <c r="AJ48" i="11"/>
  <c r="S48" i="11"/>
  <c r="E48" i="11"/>
  <c r="AA46" i="11"/>
  <c r="AB46" i="11"/>
  <c r="T46" i="11"/>
  <c r="AH46" i="11"/>
  <c r="Z46" i="11"/>
  <c r="AQ46" i="11"/>
  <c r="U46" i="11"/>
  <c r="V49" i="11"/>
  <c r="J49" i="11"/>
  <c r="G46" i="11"/>
  <c r="AL46" i="11"/>
  <c r="AK46" i="11"/>
  <c r="H46" i="11"/>
  <c r="P49" i="11"/>
  <c r="AL49" i="11"/>
  <c r="R46" i="11"/>
  <c r="X46" i="11"/>
  <c r="M46" i="11"/>
  <c r="AP46" i="11"/>
  <c r="N46" i="11"/>
  <c r="T49" i="11"/>
  <c r="V46" i="11"/>
  <c r="Q46" i="11"/>
  <c r="AN46" i="11"/>
  <c r="W46" i="11"/>
  <c r="J46" i="11"/>
  <c r="Y49" i="11"/>
  <c r="L49" i="11"/>
  <c r="L46" i="11"/>
  <c r="AG46" i="11"/>
  <c r="AD46" i="11"/>
  <c r="P46" i="11"/>
  <c r="AM46" i="11"/>
  <c r="Q49" i="11"/>
  <c r="G49" i="11"/>
  <c r="K49" i="11"/>
  <c r="AO46" i="11"/>
  <c r="K46" i="11"/>
  <c r="AI46" i="11"/>
  <c r="AG49" i="11"/>
  <c r="AP49" i="11"/>
  <c r="AF49" i="11"/>
  <c r="D26" i="11"/>
  <c r="P6" i="38"/>
  <c r="R6" i="38"/>
  <c r="V6" i="38"/>
  <c r="X6" i="38"/>
  <c r="S4" i="38"/>
  <c r="U4" i="38"/>
  <c r="P3" i="38"/>
  <c r="R3" i="38"/>
  <c r="V3" i="38"/>
  <c r="X3" i="38"/>
  <c r="J3" i="38"/>
  <c r="L3" i="38"/>
  <c r="J6" i="38"/>
  <c r="L6" i="38"/>
  <c r="M6" i="38"/>
  <c r="O6" i="38"/>
  <c r="D16" i="9"/>
  <c r="H49" i="11"/>
  <c r="Y10" i="49"/>
  <c r="J15" i="50"/>
  <c r="AO6" i="49"/>
  <c r="AO11" i="49"/>
  <c r="AP48" i="11"/>
  <c r="N48" i="11"/>
  <c r="AB48" i="11"/>
  <c r="AH48" i="11"/>
  <c r="I48" i="11"/>
  <c r="H48" i="11"/>
  <c r="R48" i="11"/>
  <c r="AI48" i="11"/>
  <c r="T48" i="11"/>
  <c r="AK48" i="11"/>
  <c r="AF48" i="11"/>
  <c r="U48" i="11"/>
  <c r="U51" i="11"/>
  <c r="X48" i="11"/>
  <c r="V48" i="11"/>
  <c r="AA49" i="11"/>
  <c r="AQ49" i="11"/>
  <c r="E50" i="11"/>
  <c r="N50" i="11"/>
  <c r="O50" i="11"/>
  <c r="Q50" i="11"/>
  <c r="I50" i="11"/>
  <c r="J50" i="11"/>
  <c r="P50" i="11"/>
  <c r="L50" i="11"/>
  <c r="R50" i="11"/>
  <c r="S50" i="11"/>
  <c r="T50" i="11"/>
  <c r="U50" i="11"/>
  <c r="V50" i="11"/>
  <c r="W50" i="11"/>
  <c r="X50" i="11"/>
  <c r="Y50" i="11"/>
  <c r="F50" i="11"/>
  <c r="G50" i="11"/>
  <c r="K50" i="11"/>
  <c r="H50" i="11"/>
  <c r="S5" i="38"/>
  <c r="U5" i="38"/>
  <c r="J5" i="38"/>
  <c r="L5" i="38"/>
  <c r="V5" i="38"/>
  <c r="X5" i="38"/>
  <c r="M5" i="38"/>
  <c r="O5" i="38"/>
  <c r="M3" i="38"/>
  <c r="O3" i="38"/>
  <c r="AH49" i="11"/>
  <c r="R49" i="11"/>
  <c r="AE49" i="11"/>
  <c r="X49" i="11"/>
  <c r="AQ48" i="11"/>
  <c r="M48" i="11"/>
  <c r="J48" i="11"/>
  <c r="L48" i="11"/>
  <c r="F48" i="11"/>
  <c r="AE48" i="11"/>
  <c r="AI49" i="11"/>
  <c r="AC48" i="11"/>
  <c r="D100" i="9"/>
  <c r="D51" i="11"/>
  <c r="E49" i="11"/>
  <c r="E51" i="11"/>
  <c r="AN49" i="11"/>
  <c r="AC49" i="11"/>
  <c r="AJ49" i="11"/>
  <c r="AM49" i="11"/>
  <c r="W49" i="11"/>
  <c r="AG48" i="11"/>
  <c r="Y48" i="11"/>
  <c r="AO48" i="11"/>
  <c r="AD48" i="11"/>
  <c r="AN48" i="11"/>
  <c r="I49" i="11"/>
  <c r="K48" i="11"/>
  <c r="N49" i="11"/>
  <c r="E110" i="9"/>
  <c r="D40" i="11"/>
  <c r="E40" i="11"/>
  <c r="F40" i="11"/>
  <c r="G40" i="11"/>
  <c r="H40" i="11"/>
  <c r="I40" i="11"/>
  <c r="J40" i="11"/>
  <c r="K40" i="11"/>
  <c r="L40" i="11"/>
  <c r="M40" i="11"/>
  <c r="N40" i="11"/>
  <c r="O40" i="11"/>
  <c r="P40" i="11"/>
  <c r="Q40" i="11"/>
  <c r="R40" i="11"/>
  <c r="S40" i="11"/>
  <c r="T40" i="11"/>
  <c r="U40" i="11"/>
  <c r="V40" i="11"/>
  <c r="W40" i="11"/>
  <c r="X40" i="11"/>
  <c r="Y40" i="11"/>
  <c r="Z40" i="11"/>
  <c r="AA40" i="11"/>
  <c r="AB40" i="11"/>
  <c r="AC40" i="11"/>
  <c r="AD40" i="11"/>
  <c r="AE40" i="11"/>
  <c r="AF40" i="11"/>
  <c r="AG40" i="11"/>
  <c r="AH40" i="11"/>
  <c r="AI40" i="11"/>
  <c r="AJ40" i="11"/>
  <c r="AK40" i="11"/>
  <c r="AL40" i="11"/>
  <c r="AM40" i="11"/>
  <c r="AN40" i="11"/>
  <c r="AO40" i="11"/>
  <c r="AP40" i="11"/>
  <c r="AQ40" i="11"/>
  <c r="S49" i="11"/>
  <c r="S51" i="11"/>
  <c r="M49" i="11"/>
  <c r="Z49" i="11"/>
  <c r="O49" i="11"/>
  <c r="AB49" i="11"/>
  <c r="AK49" i="11"/>
  <c r="G48" i="11"/>
  <c r="W48" i="11"/>
  <c r="AM48" i="11"/>
  <c r="O48" i="11"/>
  <c r="Q48" i="11"/>
  <c r="F49" i="11"/>
  <c r="F51" i="11"/>
  <c r="P48" i="11"/>
  <c r="P51" i="11"/>
  <c r="AB2" i="39"/>
  <c r="D69" i="9"/>
  <c r="D16" i="11"/>
  <c r="E16" i="11"/>
  <c r="F16" i="11"/>
  <c r="G16" i="11"/>
  <c r="H16" i="11"/>
  <c r="I16" i="11"/>
  <c r="J16" i="11"/>
  <c r="K16" i="11"/>
  <c r="L16" i="11"/>
  <c r="M16" i="11"/>
  <c r="N16" i="11"/>
  <c r="O16" i="11"/>
  <c r="P16" i="11"/>
  <c r="Q16" i="11"/>
  <c r="R16" i="11"/>
  <c r="S16" i="11"/>
  <c r="T16" i="11"/>
  <c r="U16" i="11"/>
  <c r="V16" i="11"/>
  <c r="W16" i="11"/>
  <c r="X16" i="11"/>
  <c r="Y16" i="11"/>
  <c r="Z16" i="11"/>
  <c r="AA16" i="11"/>
  <c r="AB16" i="11"/>
  <c r="AC16" i="11"/>
  <c r="AD16" i="11"/>
  <c r="AE16" i="11"/>
  <c r="AF16" i="11"/>
  <c r="AG16" i="11"/>
  <c r="AH16" i="11"/>
  <c r="AI16" i="11"/>
  <c r="AJ16" i="11"/>
  <c r="AK16" i="11"/>
  <c r="AL16" i="11"/>
  <c r="AM16" i="11"/>
  <c r="AN16" i="11"/>
  <c r="AO16" i="11"/>
  <c r="AP16" i="11"/>
  <c r="AQ16" i="11"/>
  <c r="C22" i="46"/>
  <c r="F22" i="46"/>
  <c r="G22" i="46"/>
  <c r="H22" i="46"/>
  <c r="I22" i="46"/>
  <c r="J22" i="46"/>
  <c r="K22" i="46"/>
  <c r="L22" i="46"/>
  <c r="M22" i="46"/>
  <c r="N22" i="46"/>
  <c r="O22" i="46"/>
  <c r="P22" i="46"/>
  <c r="Q22" i="46"/>
  <c r="R22" i="46"/>
  <c r="S22" i="46"/>
  <c r="T22" i="46"/>
  <c r="C18" i="38"/>
  <c r="C21" i="46"/>
  <c r="F21" i="46"/>
  <c r="F27" i="38"/>
  <c r="I7" i="24"/>
  <c r="AG17" i="24"/>
  <c r="AG11" i="24"/>
  <c r="F7" i="24"/>
  <c r="AD17" i="24"/>
  <c r="AD11" i="24"/>
  <c r="D7" i="24"/>
  <c r="AB17" i="24"/>
  <c r="AB11" i="24"/>
  <c r="H7" i="24"/>
  <c r="AF17" i="24"/>
  <c r="AF11" i="24"/>
  <c r="G7" i="24"/>
  <c r="AE17" i="24"/>
  <c r="AE11" i="24"/>
  <c r="E7" i="24"/>
  <c r="AC17" i="24"/>
  <c r="AC11" i="24"/>
  <c r="J7" i="24"/>
  <c r="AH17" i="24"/>
  <c r="AH11" i="24"/>
  <c r="C7" i="24"/>
  <c r="AA17" i="24"/>
  <c r="AA11" i="24"/>
  <c r="J93" i="24"/>
  <c r="I109" i="24"/>
  <c r="I41" i="24"/>
  <c r="I124" i="24"/>
  <c r="D6" i="11"/>
  <c r="D24" i="11"/>
  <c r="J85" i="24"/>
  <c r="I47" i="37"/>
  <c r="I57" i="24"/>
  <c r="I101" i="24"/>
  <c r="I77" i="24"/>
  <c r="I85" i="24"/>
  <c r="I39" i="37"/>
  <c r="I93" i="24"/>
  <c r="I69" i="24"/>
  <c r="I25" i="24"/>
  <c r="J109" i="24"/>
  <c r="J101" i="24"/>
  <c r="J4" i="38"/>
  <c r="L4" i="38"/>
  <c r="L7" i="38"/>
  <c r="V4" i="38"/>
  <c r="X4" i="38"/>
  <c r="P4" i="38"/>
  <c r="R4" i="38"/>
  <c r="R7" i="38"/>
  <c r="G27" i="38"/>
  <c r="AQ5" i="41"/>
  <c r="AQ6" i="41"/>
  <c r="AQ7" i="41"/>
  <c r="AQ8" i="41"/>
  <c r="AQ9" i="41"/>
  <c r="AQ10" i="41"/>
  <c r="AQ11" i="41"/>
  <c r="AQ12" i="41"/>
  <c r="AE7" i="41"/>
  <c r="AH7" i="41"/>
  <c r="AE8" i="41"/>
  <c r="AH8" i="41"/>
  <c r="J27" i="38"/>
  <c r="I49" i="24"/>
  <c r="I23" i="37"/>
  <c r="I31" i="37"/>
  <c r="I15" i="37"/>
  <c r="J15" i="37"/>
  <c r="H27" i="38"/>
  <c r="I27" i="38"/>
  <c r="U7" i="38"/>
  <c r="F26" i="11"/>
  <c r="E26" i="11"/>
  <c r="V51" i="11"/>
  <c r="T51" i="11"/>
  <c r="Q51" i="11"/>
  <c r="D21" i="9"/>
  <c r="D48" i="37"/>
  <c r="G161" i="24"/>
  <c r="H161" i="24"/>
  <c r="J39" i="37"/>
  <c r="I33" i="24"/>
  <c r="L112" i="27"/>
  <c r="G112" i="27"/>
  <c r="D36" i="9"/>
  <c r="C14" i="46"/>
  <c r="F14" i="46"/>
  <c r="J47" i="37"/>
  <c r="F15" i="11"/>
  <c r="D108" i="9"/>
  <c r="AE10" i="41"/>
  <c r="AH10" i="41"/>
  <c r="AE9" i="41"/>
  <c r="AH9" i="41"/>
  <c r="O7" i="38"/>
  <c r="E26" i="37"/>
  <c r="E28" i="24"/>
  <c r="E18" i="37"/>
  <c r="E52" i="24"/>
  <c r="E64" i="24"/>
  <c r="G64" i="24"/>
  <c r="J64" i="24"/>
  <c r="J69" i="24"/>
  <c r="AK35" i="3"/>
  <c r="E32" i="9"/>
  <c r="E43" i="9"/>
  <c r="F26" i="37"/>
  <c r="F18" i="37"/>
  <c r="F72" i="24"/>
  <c r="G72" i="24"/>
  <c r="J72" i="24"/>
  <c r="J77" i="24"/>
  <c r="F44" i="24"/>
  <c r="F28" i="24"/>
  <c r="F52" i="24"/>
  <c r="F64" i="24"/>
  <c r="D110" i="24"/>
  <c r="K51" i="11"/>
  <c r="I51" i="11"/>
  <c r="G51" i="11"/>
  <c r="N51" i="11"/>
  <c r="H51" i="11"/>
  <c r="O51" i="11"/>
  <c r="AO51" i="49"/>
  <c r="H13" i="50"/>
  <c r="J14" i="50"/>
  <c r="H16" i="50"/>
  <c r="AE12" i="24"/>
  <c r="AE13" i="24"/>
  <c r="AE14" i="24"/>
  <c r="AE15" i="24"/>
  <c r="AE9" i="24"/>
  <c r="AF12" i="24"/>
  <c r="AE41" i="24"/>
  <c r="AF14" i="24"/>
  <c r="AE43" i="24"/>
  <c r="AE40" i="24"/>
  <c r="AF13" i="24"/>
  <c r="AE42" i="24"/>
  <c r="AF15" i="24"/>
  <c r="AB12" i="24"/>
  <c r="AB14" i="24"/>
  <c r="AB13" i="24"/>
  <c r="AB15" i="24"/>
  <c r="AB9" i="24"/>
  <c r="AD12" i="24"/>
  <c r="AD41" i="24"/>
  <c r="AD13" i="24"/>
  <c r="AD14" i="24"/>
  <c r="AD15" i="24"/>
  <c r="AD9" i="24"/>
  <c r="AF40" i="24"/>
  <c r="E24" i="24"/>
  <c r="G24" i="24"/>
  <c r="J24" i="24"/>
  <c r="AG12" i="24"/>
  <c r="AG13" i="24"/>
  <c r="AG14" i="24"/>
  <c r="AG15" i="24"/>
  <c r="AG9" i="24"/>
  <c r="AA12" i="24"/>
  <c r="AA13" i="24"/>
  <c r="AA42" i="24"/>
  <c r="AA14" i="24"/>
  <c r="AH12" i="24"/>
  <c r="AH13" i="24"/>
  <c r="AH14" i="24"/>
  <c r="AH15" i="24"/>
  <c r="AH9" i="24"/>
  <c r="AC12" i="24"/>
  <c r="AC41" i="24"/>
  <c r="AC14" i="24"/>
  <c r="AC43" i="24"/>
  <c r="E21" i="24"/>
  <c r="G21" i="24"/>
  <c r="J21" i="24"/>
  <c r="AC40" i="24"/>
  <c r="AC13" i="24"/>
  <c r="AC42" i="24"/>
  <c r="AC15" i="24"/>
  <c r="AA23" i="24"/>
  <c r="AA52" i="24"/>
  <c r="AH23" i="24"/>
  <c r="W51" i="11"/>
  <c r="R51" i="11"/>
  <c r="M51" i="11"/>
  <c r="L51" i="11"/>
  <c r="J51" i="11"/>
  <c r="X7" i="38"/>
  <c r="F27" i="11"/>
  <c r="F23" i="46"/>
  <c r="F31" i="46"/>
  <c r="G21" i="46"/>
  <c r="D36" i="11"/>
  <c r="E36" i="11"/>
  <c r="F36" i="11"/>
  <c r="G36" i="11"/>
  <c r="H36" i="11"/>
  <c r="I36" i="11"/>
  <c r="J36" i="11"/>
  <c r="K36" i="11"/>
  <c r="L36" i="11"/>
  <c r="M36" i="11"/>
  <c r="N36" i="11"/>
  <c r="O36" i="11"/>
  <c r="P36" i="11"/>
  <c r="Q36" i="11"/>
  <c r="R36" i="11"/>
  <c r="S36" i="11"/>
  <c r="T36" i="11"/>
  <c r="U36" i="11"/>
  <c r="V36" i="11"/>
  <c r="W36" i="11"/>
  <c r="X36" i="11"/>
  <c r="Y36" i="11"/>
  <c r="Z36" i="11"/>
  <c r="AA36" i="11"/>
  <c r="AB36" i="11"/>
  <c r="AC36" i="11"/>
  <c r="AD36" i="11"/>
  <c r="AE36" i="11"/>
  <c r="AF36" i="11"/>
  <c r="AG36" i="11"/>
  <c r="AH36" i="11"/>
  <c r="AI36" i="11"/>
  <c r="AJ36" i="11"/>
  <c r="AK36" i="11"/>
  <c r="AL36" i="11"/>
  <c r="AM36" i="11"/>
  <c r="AN36" i="11"/>
  <c r="AO36" i="11"/>
  <c r="AP36" i="11"/>
  <c r="AQ36" i="11"/>
  <c r="D27" i="11"/>
  <c r="E27" i="11"/>
  <c r="G14" i="46"/>
  <c r="AD23" i="24"/>
  <c r="AD22" i="24"/>
  <c r="AD31" i="24"/>
  <c r="AD19" i="24"/>
  <c r="AB22" i="24"/>
  <c r="AB23" i="24"/>
  <c r="AB18" i="24"/>
  <c r="AB21" i="24"/>
  <c r="AB31" i="24"/>
  <c r="AD16" i="24"/>
  <c r="AD10" i="24"/>
  <c r="AB46" i="24"/>
  <c r="AA21" i="24"/>
  <c r="AA50" i="24"/>
  <c r="AC20" i="24"/>
  <c r="AC49" i="24"/>
  <c r="AC31" i="24"/>
  <c r="AC18" i="24"/>
  <c r="AC47" i="24"/>
  <c r="AE19" i="24"/>
  <c r="AF18" i="24"/>
  <c r="AE47" i="24"/>
  <c r="AF23" i="24"/>
  <c r="AE52" i="24"/>
  <c r="AF16" i="24"/>
  <c r="AF22" i="24"/>
  <c r="AE51" i="24"/>
  <c r="AF21" i="24"/>
  <c r="AE50" i="24"/>
  <c r="AE46" i="24"/>
  <c r="AF20" i="24"/>
  <c r="AE49" i="24"/>
  <c r="AF31" i="24"/>
  <c r="AB24" i="24"/>
  <c r="AA43" i="24"/>
  <c r="AB20" i="24"/>
  <c r="AC46" i="24"/>
  <c r="AB19" i="24"/>
  <c r="AA31" i="24"/>
  <c r="AA19" i="24"/>
  <c r="AA48" i="24"/>
  <c r="AA18" i="24"/>
  <c r="AA47" i="24"/>
  <c r="AA20" i="24"/>
  <c r="AA49" i="24"/>
  <c r="AA22" i="24"/>
  <c r="AA51" i="24"/>
  <c r="AH20" i="24"/>
  <c r="AH18" i="24"/>
  <c r="AD21" i="24"/>
  <c r="AD46" i="24"/>
  <c r="AD20" i="24"/>
  <c r="AD18" i="24"/>
  <c r="AD24" i="24"/>
  <c r="AC22" i="24"/>
  <c r="AC51" i="24"/>
  <c r="AC21" i="24"/>
  <c r="AC50" i="24"/>
  <c r="E37" i="24"/>
  <c r="G37" i="24"/>
  <c r="J37" i="24"/>
  <c r="J41" i="24"/>
  <c r="AC19" i="24"/>
  <c r="AC48" i="24"/>
  <c r="AC24" i="24"/>
  <c r="AC53" i="24"/>
  <c r="AC23" i="24"/>
  <c r="AC52" i="24"/>
  <c r="AC16" i="24"/>
  <c r="AA46" i="24"/>
  <c r="AA15" i="24"/>
  <c r="AA9" i="24"/>
  <c r="AB16" i="24"/>
  <c r="AB10" i="24"/>
  <c r="AA24" i="24"/>
  <c r="AA53" i="24"/>
  <c r="AA16" i="24"/>
  <c r="AE31" i="24"/>
  <c r="AE16" i="24"/>
  <c r="AE10" i="24"/>
  <c r="AE24" i="24"/>
  <c r="AE23" i="24"/>
  <c r="AE18" i="24"/>
  <c r="AE22" i="24"/>
  <c r="AD51" i="24"/>
  <c r="AE21" i="24"/>
  <c r="AE20" i="24"/>
  <c r="AF24" i="24"/>
  <c r="AE53" i="24"/>
  <c r="AF19" i="24"/>
  <c r="AE48" i="24"/>
  <c r="AH21" i="24"/>
  <c r="AH22" i="24"/>
  <c r="AH19" i="24"/>
  <c r="AH24" i="24"/>
  <c r="AH16" i="24"/>
  <c r="AH10" i="24"/>
  <c r="AG16" i="24"/>
  <c r="AG10" i="24"/>
  <c r="AG23" i="24"/>
  <c r="AF52" i="24"/>
  <c r="AG19" i="24"/>
  <c r="AF46" i="24"/>
  <c r="AG22" i="24"/>
  <c r="AG21" i="24"/>
  <c r="AG24" i="24"/>
  <c r="AG20" i="24"/>
  <c r="AG18" i="24"/>
  <c r="AD48" i="24"/>
  <c r="D34" i="9"/>
  <c r="E6" i="11"/>
  <c r="E24" i="11"/>
  <c r="I110" i="24"/>
  <c r="N27" i="38"/>
  <c r="P27" i="38"/>
  <c r="L27" i="38"/>
  <c r="K27" i="38"/>
  <c r="M27" i="38"/>
  <c r="O27" i="38"/>
  <c r="I48" i="37"/>
  <c r="Y7" i="38"/>
  <c r="G26" i="11"/>
  <c r="Z50" i="11"/>
  <c r="Y51" i="11"/>
  <c r="X51" i="11"/>
  <c r="B19" i="37"/>
  <c r="C5" i="38"/>
  <c r="G2" i="38"/>
  <c r="B35" i="37"/>
  <c r="B27" i="37"/>
  <c r="B11" i="37"/>
  <c r="B43" i="37"/>
  <c r="H159" i="24"/>
  <c r="H160" i="24"/>
  <c r="H154" i="24"/>
  <c r="H158" i="24"/>
  <c r="H155" i="24"/>
  <c r="H156" i="24"/>
  <c r="H157" i="24"/>
  <c r="S2" i="39"/>
  <c r="V2" i="39"/>
  <c r="D37" i="9"/>
  <c r="C15" i="46"/>
  <c r="F15" i="46"/>
  <c r="G15" i="46"/>
  <c r="H15" i="46"/>
  <c r="I15" i="46"/>
  <c r="J15" i="46"/>
  <c r="K15" i="46"/>
  <c r="L15" i="46"/>
  <c r="M15" i="46"/>
  <c r="N15" i="46"/>
  <c r="O15" i="46"/>
  <c r="P15" i="46"/>
  <c r="Q15" i="46"/>
  <c r="R15" i="46"/>
  <c r="S15" i="46"/>
  <c r="T15" i="46"/>
  <c r="G15" i="11"/>
  <c r="G27" i="11"/>
  <c r="C35" i="38"/>
  <c r="D110" i="9"/>
  <c r="AH11" i="41"/>
  <c r="F108" i="9"/>
  <c r="G28" i="24"/>
  <c r="J28" i="24"/>
  <c r="J33" i="24"/>
  <c r="D8" i="11"/>
  <c r="C11" i="38"/>
  <c r="G26" i="37"/>
  <c r="J26" i="37"/>
  <c r="J31" i="37"/>
  <c r="G52" i="24"/>
  <c r="J52" i="24"/>
  <c r="J57" i="24"/>
  <c r="B23" i="24"/>
  <c r="D164" i="24"/>
  <c r="C164" i="24"/>
  <c r="B105" i="24"/>
  <c r="B97" i="24"/>
  <c r="B53" i="24"/>
  <c r="B73" i="24"/>
  <c r="D155" i="24"/>
  <c r="B37" i="24"/>
  <c r="D162" i="24"/>
  <c r="C162" i="24"/>
  <c r="C163" i="24"/>
  <c r="C158" i="24"/>
  <c r="B65" i="24"/>
  <c r="B81" i="24"/>
  <c r="D125" i="24"/>
  <c r="C4" i="46"/>
  <c r="B45" i="24"/>
  <c r="B29" i="24"/>
  <c r="D156" i="24"/>
  <c r="C156" i="24"/>
  <c r="B89" i="24"/>
  <c r="D17" i="11"/>
  <c r="E51" i="9"/>
  <c r="E52" i="9"/>
  <c r="E120" i="9"/>
  <c r="E128" i="9"/>
  <c r="G18" i="37"/>
  <c r="J18" i="37"/>
  <c r="J23" i="37"/>
  <c r="I14" i="50"/>
  <c r="I17" i="50"/>
  <c r="I18" i="50"/>
  <c r="I20" i="50"/>
  <c r="H38" i="50"/>
  <c r="AB50" i="24"/>
  <c r="AO52" i="49"/>
  <c r="AE53" i="49"/>
  <c r="E16" i="50"/>
  <c r="I15" i="50"/>
  <c r="AD39" i="24"/>
  <c r="AD38" i="24"/>
  <c r="AC44" i="24"/>
  <c r="AC9" i="24"/>
  <c r="AC38" i="24"/>
  <c r="AA45" i="24"/>
  <c r="AA10" i="24"/>
  <c r="AA39" i="24"/>
  <c r="AF41" i="24"/>
  <c r="AE45" i="24"/>
  <c r="AF10" i="24"/>
  <c r="AE39" i="24"/>
  <c r="AE44" i="24"/>
  <c r="AF9" i="24"/>
  <c r="AE38" i="24"/>
  <c r="AC45" i="24"/>
  <c r="AC10" i="24"/>
  <c r="AC39" i="24"/>
  <c r="E23" i="24"/>
  <c r="G23" i="24"/>
  <c r="J23" i="24"/>
  <c r="AF38" i="24"/>
  <c r="AA38" i="24"/>
  <c r="AB38" i="24"/>
  <c r="AD40" i="24"/>
  <c r="AA40" i="24"/>
  <c r="E19" i="24"/>
  <c r="G19" i="24"/>
  <c r="J19" i="24"/>
  <c r="AB40" i="24"/>
  <c r="AF39" i="24"/>
  <c r="AB41" i="24"/>
  <c r="AA41" i="24"/>
  <c r="AF47" i="24"/>
  <c r="AB52" i="24"/>
  <c r="AD52" i="24"/>
  <c r="F6" i="11"/>
  <c r="G6" i="11"/>
  <c r="AD43" i="24"/>
  <c r="E22" i="24"/>
  <c r="G22" i="24"/>
  <c r="J22" i="24"/>
  <c r="AB43" i="24"/>
  <c r="AB42" i="24"/>
  <c r="C5" i="46"/>
  <c r="D12" i="46"/>
  <c r="G31" i="46"/>
  <c r="G23" i="46"/>
  <c r="H21" i="46"/>
  <c r="AF42" i="24"/>
  <c r="D133" i="9"/>
  <c r="E133" i="9"/>
  <c r="C36" i="46"/>
  <c r="F36" i="46"/>
  <c r="AB51" i="24"/>
  <c r="AD45" i="24"/>
  <c r="F29" i="46"/>
  <c r="H14" i="46"/>
  <c r="G29" i="46"/>
  <c r="AD42" i="24"/>
  <c r="D159" i="24"/>
  <c r="C159" i="24"/>
  <c r="D154" i="24"/>
  <c r="C154" i="24"/>
  <c r="AD47" i="24"/>
  <c r="AF44" i="24"/>
  <c r="AF49" i="24"/>
  <c r="AB49" i="24"/>
  <c r="AF48" i="24"/>
  <c r="AB53" i="24"/>
  <c r="AF43" i="24"/>
  <c r="AB47" i="24"/>
  <c r="AB48" i="24"/>
  <c r="E44" i="24"/>
  <c r="G44" i="24"/>
  <c r="J44" i="24"/>
  <c r="J49" i="24"/>
  <c r="AD50" i="24"/>
  <c r="AF50" i="24"/>
  <c r="AF51" i="24"/>
  <c r="AD44" i="24"/>
  <c r="AD49" i="24"/>
  <c r="AD53" i="24"/>
  <c r="AB45" i="24"/>
  <c r="AF45" i="24"/>
  <c r="AA44" i="24"/>
  <c r="AB44" i="24"/>
  <c r="E72" i="24"/>
  <c r="AF53" i="24"/>
  <c r="Q27" i="38"/>
  <c r="D160" i="24"/>
  <c r="C160" i="24"/>
  <c r="D9" i="11"/>
  <c r="E9" i="11"/>
  <c r="F9" i="11"/>
  <c r="G9" i="11"/>
  <c r="H9" i="11"/>
  <c r="I9" i="11"/>
  <c r="J9" i="11"/>
  <c r="K9" i="11"/>
  <c r="L9" i="11"/>
  <c r="M9" i="11"/>
  <c r="N9" i="11"/>
  <c r="O9" i="11"/>
  <c r="P9" i="11"/>
  <c r="Q9" i="11"/>
  <c r="R9" i="11"/>
  <c r="S9" i="11"/>
  <c r="T9" i="11"/>
  <c r="U9" i="11"/>
  <c r="V9" i="11"/>
  <c r="W9" i="11"/>
  <c r="X9" i="11"/>
  <c r="Y9" i="11"/>
  <c r="Z9" i="11"/>
  <c r="AA9" i="11"/>
  <c r="AB9" i="11"/>
  <c r="AC9" i="11"/>
  <c r="AD9" i="11"/>
  <c r="AE9" i="11"/>
  <c r="AF9" i="11"/>
  <c r="AG9" i="11"/>
  <c r="AH9" i="11"/>
  <c r="AI9" i="11"/>
  <c r="AJ9" i="11"/>
  <c r="AK9" i="11"/>
  <c r="AL9" i="11"/>
  <c r="AM9" i="11"/>
  <c r="AN9" i="11"/>
  <c r="AO9" i="11"/>
  <c r="AP9" i="11"/>
  <c r="AQ9" i="11"/>
  <c r="C12" i="38"/>
  <c r="F12" i="38"/>
  <c r="G12" i="38"/>
  <c r="H12" i="38"/>
  <c r="I12" i="38"/>
  <c r="J12" i="38"/>
  <c r="K12" i="38"/>
  <c r="L12" i="38"/>
  <c r="M12" i="38"/>
  <c r="N12" i="38"/>
  <c r="O12" i="38"/>
  <c r="P12" i="38"/>
  <c r="Q12" i="38"/>
  <c r="R12" i="38"/>
  <c r="S12" i="38"/>
  <c r="T12" i="38"/>
  <c r="U12" i="38"/>
  <c r="V12" i="38"/>
  <c r="W12" i="38"/>
  <c r="X12" i="38"/>
  <c r="Y12" i="38"/>
  <c r="G3" i="38"/>
  <c r="H26" i="11"/>
  <c r="AA50" i="11"/>
  <c r="Z51" i="11"/>
  <c r="J48" i="37"/>
  <c r="H15" i="11"/>
  <c r="I15" i="11"/>
  <c r="D134" i="9"/>
  <c r="E134" i="9"/>
  <c r="D34" i="11"/>
  <c r="E34" i="11"/>
  <c r="F34" i="11"/>
  <c r="C33" i="38"/>
  <c r="AA2" i="39"/>
  <c r="D135" i="9"/>
  <c r="E135" i="9"/>
  <c r="M6" i="41"/>
  <c r="C6" i="38"/>
  <c r="C7" i="38"/>
  <c r="Y2" i="39"/>
  <c r="C155" i="24"/>
  <c r="D157" i="24"/>
  <c r="C157" i="24"/>
  <c r="E17" i="11"/>
  <c r="D28" i="11"/>
  <c r="D18" i="11"/>
  <c r="D161" i="24"/>
  <c r="C161" i="24"/>
  <c r="E8" i="11"/>
  <c r="F17" i="50"/>
  <c r="F24" i="11"/>
  <c r="G6" i="50"/>
  <c r="I6" i="50"/>
  <c r="G7" i="50"/>
  <c r="I7" i="50"/>
  <c r="AB39" i="24"/>
  <c r="E20" i="24"/>
  <c r="G20" i="24"/>
  <c r="J20" i="24"/>
  <c r="J25" i="24"/>
  <c r="J110" i="24"/>
  <c r="D5" i="11"/>
  <c r="D12" i="11"/>
  <c r="D20" i="11"/>
  <c r="H27" i="11"/>
  <c r="D15" i="46"/>
  <c r="D36" i="46"/>
  <c r="D37" i="46"/>
  <c r="D17" i="46"/>
  <c r="D16" i="46"/>
  <c r="D22" i="46"/>
  <c r="D38" i="46"/>
  <c r="D14" i="46"/>
  <c r="D39" i="46"/>
  <c r="F39" i="46"/>
  <c r="G39" i="46"/>
  <c r="H39" i="46"/>
  <c r="I39" i="46"/>
  <c r="J39" i="46"/>
  <c r="K39" i="46"/>
  <c r="L39" i="46"/>
  <c r="M39" i="46"/>
  <c r="N39" i="46"/>
  <c r="O39" i="46"/>
  <c r="P39" i="46"/>
  <c r="Q39" i="46"/>
  <c r="R39" i="46"/>
  <c r="S39" i="46"/>
  <c r="T39" i="46"/>
  <c r="D21" i="46"/>
  <c r="G36" i="46"/>
  <c r="H31" i="46"/>
  <c r="I21" i="46"/>
  <c r="H23" i="46"/>
  <c r="I14" i="46"/>
  <c r="H29" i="46"/>
  <c r="F9" i="38"/>
  <c r="G9" i="38"/>
  <c r="R27" i="38"/>
  <c r="D25" i="11"/>
  <c r="I26" i="11"/>
  <c r="AB50" i="11"/>
  <c r="AA51" i="11"/>
  <c r="E41" i="11"/>
  <c r="D41" i="11"/>
  <c r="D9" i="38"/>
  <c r="C165" i="24"/>
  <c r="D165" i="24"/>
  <c r="J15" i="11"/>
  <c r="I27" i="11"/>
  <c r="H6" i="11"/>
  <c r="G24" i="11"/>
  <c r="F8" i="11"/>
  <c r="E25" i="11"/>
  <c r="F41" i="11"/>
  <c r="G34" i="11"/>
  <c r="F18" i="38"/>
  <c r="F28" i="38"/>
  <c r="E28" i="11"/>
  <c r="F17" i="11"/>
  <c r="E18" i="11"/>
  <c r="I4" i="50"/>
  <c r="I31" i="46"/>
  <c r="J21" i="46"/>
  <c r="I23" i="46"/>
  <c r="F40" i="46"/>
  <c r="H36" i="46"/>
  <c r="G40" i="46"/>
  <c r="F25" i="38"/>
  <c r="J14" i="46"/>
  <c r="I29" i="46"/>
  <c r="F32" i="46"/>
  <c r="G12" i="46"/>
  <c r="G28" i="46"/>
  <c r="F18" i="46"/>
  <c r="F24" i="46"/>
  <c r="S27" i="38"/>
  <c r="D33" i="9"/>
  <c r="D43" i="9"/>
  <c r="E5" i="11"/>
  <c r="E12" i="11"/>
  <c r="E20" i="11"/>
  <c r="D23" i="11"/>
  <c r="D29" i="11"/>
  <c r="D31" i="11"/>
  <c r="D43" i="11"/>
  <c r="D56" i="11"/>
  <c r="H9" i="38"/>
  <c r="G25" i="38"/>
  <c r="D44" i="38"/>
  <c r="D12" i="38"/>
  <c r="J26" i="11"/>
  <c r="AC50" i="11"/>
  <c r="AB51" i="11"/>
  <c r="D46" i="38"/>
  <c r="F46" i="38"/>
  <c r="G46" i="38"/>
  <c r="D18" i="38"/>
  <c r="D13" i="38"/>
  <c r="D11" i="38"/>
  <c r="F11" i="38"/>
  <c r="F26" i="38"/>
  <c r="G40" i="38"/>
  <c r="D14" i="38"/>
  <c r="D37" i="38"/>
  <c r="F37" i="38"/>
  <c r="G37" i="38"/>
  <c r="H37" i="38"/>
  <c r="I37" i="38"/>
  <c r="J37" i="38"/>
  <c r="K37" i="38"/>
  <c r="L37" i="38"/>
  <c r="M37" i="38"/>
  <c r="N37" i="38"/>
  <c r="O37" i="38"/>
  <c r="P37" i="38"/>
  <c r="Q37" i="38"/>
  <c r="R37" i="38"/>
  <c r="S37" i="38"/>
  <c r="T37" i="38"/>
  <c r="U37" i="38"/>
  <c r="V37" i="38"/>
  <c r="W37" i="38"/>
  <c r="X37" i="38"/>
  <c r="Y37" i="38"/>
  <c r="D36" i="38"/>
  <c r="F36" i="38"/>
  <c r="G36" i="38"/>
  <c r="H36" i="38"/>
  <c r="I36" i="38"/>
  <c r="J36" i="38"/>
  <c r="K36" i="38"/>
  <c r="L36" i="38"/>
  <c r="M36" i="38"/>
  <c r="N36" i="38"/>
  <c r="O36" i="38"/>
  <c r="P36" i="38"/>
  <c r="Q36" i="38"/>
  <c r="R36" i="38"/>
  <c r="S36" i="38"/>
  <c r="T36" i="38"/>
  <c r="U36" i="38"/>
  <c r="V36" i="38"/>
  <c r="W36" i="38"/>
  <c r="X36" i="38"/>
  <c r="Y36" i="38"/>
  <c r="D35" i="38"/>
  <c r="F35" i="38"/>
  <c r="G35" i="38"/>
  <c r="H35" i="38"/>
  <c r="I35" i="38"/>
  <c r="J35" i="38"/>
  <c r="K35" i="38"/>
  <c r="L35" i="38"/>
  <c r="M35" i="38"/>
  <c r="N35" i="38"/>
  <c r="O35" i="38"/>
  <c r="P35" i="38"/>
  <c r="Q35" i="38"/>
  <c r="R35" i="38"/>
  <c r="S35" i="38"/>
  <c r="T35" i="38"/>
  <c r="U35" i="38"/>
  <c r="V35" i="38"/>
  <c r="W35" i="38"/>
  <c r="X35" i="38"/>
  <c r="Y35" i="38"/>
  <c r="D34" i="38"/>
  <c r="F34" i="38"/>
  <c r="G34" i="38"/>
  <c r="H34" i="38"/>
  <c r="I34" i="38"/>
  <c r="J34" i="38"/>
  <c r="K34" i="38"/>
  <c r="L34" i="38"/>
  <c r="M34" i="38"/>
  <c r="N34" i="38"/>
  <c r="O34" i="38"/>
  <c r="P34" i="38"/>
  <c r="Q34" i="38"/>
  <c r="R34" i="38"/>
  <c r="S34" i="38"/>
  <c r="T34" i="38"/>
  <c r="U34" i="38"/>
  <c r="V34" i="38"/>
  <c r="W34" i="38"/>
  <c r="X34" i="38"/>
  <c r="Y34" i="38"/>
  <c r="D33" i="38"/>
  <c r="F33" i="38"/>
  <c r="G33" i="38"/>
  <c r="D19" i="38"/>
  <c r="J27" i="11"/>
  <c r="K15" i="11"/>
  <c r="R40" i="38"/>
  <c r="L40" i="38"/>
  <c r="O40" i="38"/>
  <c r="I6" i="11"/>
  <c r="H24" i="11"/>
  <c r="F28" i="11"/>
  <c r="G17" i="11"/>
  <c r="F18" i="11"/>
  <c r="F20" i="38"/>
  <c r="G18" i="38"/>
  <c r="H34" i="11"/>
  <c r="G41" i="11"/>
  <c r="G8" i="11"/>
  <c r="F25" i="11"/>
  <c r="F29" i="38"/>
  <c r="F33" i="46"/>
  <c r="F41" i="46"/>
  <c r="I36" i="46"/>
  <c r="H40" i="46"/>
  <c r="J31" i="46"/>
  <c r="J23" i="46"/>
  <c r="K21" i="46"/>
  <c r="K14" i="46"/>
  <c r="J29" i="46"/>
  <c r="G32" i="46"/>
  <c r="H12" i="46"/>
  <c r="H28" i="46"/>
  <c r="G18" i="46"/>
  <c r="G24" i="46"/>
  <c r="F44" i="38"/>
  <c r="G44" i="38"/>
  <c r="H44" i="38"/>
  <c r="I44" i="38"/>
  <c r="J44" i="38"/>
  <c r="K44" i="38"/>
  <c r="L44" i="38"/>
  <c r="M44" i="38"/>
  <c r="N44" i="38"/>
  <c r="O44" i="38"/>
  <c r="P44" i="38"/>
  <c r="Q44" i="38"/>
  <c r="R44" i="38"/>
  <c r="S44" i="38"/>
  <c r="T44" i="38"/>
  <c r="U44" i="38"/>
  <c r="V44" i="38"/>
  <c r="W44" i="38"/>
  <c r="X44" i="38"/>
  <c r="Y44" i="38"/>
  <c r="T27" i="38"/>
  <c r="D51" i="9"/>
  <c r="D52" i="9"/>
  <c r="D120" i="9"/>
  <c r="D128" i="9"/>
  <c r="E23" i="11"/>
  <c r="E29" i="11"/>
  <c r="E31" i="11"/>
  <c r="E43" i="11"/>
  <c r="F5" i="11"/>
  <c r="F12" i="11"/>
  <c r="F20" i="11"/>
  <c r="I9" i="38"/>
  <c r="H25" i="38"/>
  <c r="P40" i="38"/>
  <c r="S40" i="38"/>
  <c r="T40" i="38"/>
  <c r="X40" i="38"/>
  <c r="K26" i="11"/>
  <c r="AD50" i="11"/>
  <c r="AC51" i="11"/>
  <c r="D53" i="11"/>
  <c r="O2" i="39"/>
  <c r="D52" i="11"/>
  <c r="P2" i="39"/>
  <c r="V40" i="38"/>
  <c r="U40" i="38"/>
  <c r="M40" i="38"/>
  <c r="F40" i="38"/>
  <c r="H40" i="38"/>
  <c r="J40" i="38"/>
  <c r="I40" i="38"/>
  <c r="Q40" i="38"/>
  <c r="K40" i="38"/>
  <c r="Y40" i="38"/>
  <c r="F38" i="38"/>
  <c r="W40" i="38"/>
  <c r="N40" i="38"/>
  <c r="G11" i="38"/>
  <c r="G26" i="38"/>
  <c r="F15" i="38"/>
  <c r="F21" i="38"/>
  <c r="G28" i="11"/>
  <c r="H17" i="11"/>
  <c r="G18" i="11"/>
  <c r="I24" i="11"/>
  <c r="J6" i="11"/>
  <c r="H18" i="38"/>
  <c r="G28" i="38"/>
  <c r="G20" i="38"/>
  <c r="G38" i="38"/>
  <c r="H33" i="38"/>
  <c r="H8" i="11"/>
  <c r="G25" i="11"/>
  <c r="K27" i="11"/>
  <c r="L15" i="11"/>
  <c r="I34" i="11"/>
  <c r="H41" i="11"/>
  <c r="H46" i="38"/>
  <c r="F30" i="38"/>
  <c r="F39" i="38"/>
  <c r="F46" i="46"/>
  <c r="F43" i="46"/>
  <c r="F45" i="46"/>
  <c r="J36" i="46"/>
  <c r="I40" i="46"/>
  <c r="K31" i="46"/>
  <c r="K23" i="46"/>
  <c r="L21" i="46"/>
  <c r="G29" i="38"/>
  <c r="L14" i="46"/>
  <c r="K29" i="46"/>
  <c r="G33" i="46"/>
  <c r="G41" i="46"/>
  <c r="H32" i="46"/>
  <c r="I12" i="46"/>
  <c r="I28" i="46"/>
  <c r="H18" i="46"/>
  <c r="H24" i="46"/>
  <c r="U27" i="38"/>
  <c r="F23" i="11"/>
  <c r="F29" i="11"/>
  <c r="F31" i="11"/>
  <c r="F43" i="11"/>
  <c r="G5" i="11"/>
  <c r="G12" i="11"/>
  <c r="G20" i="11"/>
  <c r="I25" i="38"/>
  <c r="J9" i="38"/>
  <c r="L26" i="11"/>
  <c r="AD51" i="11"/>
  <c r="AE50" i="11"/>
  <c r="H11" i="38"/>
  <c r="H26" i="38"/>
  <c r="G15" i="38"/>
  <c r="G21" i="38"/>
  <c r="L27" i="11"/>
  <c r="M15" i="11"/>
  <c r="H38" i="38"/>
  <c r="I33" i="38"/>
  <c r="J24" i="11"/>
  <c r="K6" i="11"/>
  <c r="I8" i="11"/>
  <c r="H25" i="11"/>
  <c r="I17" i="11"/>
  <c r="H28" i="11"/>
  <c r="H18" i="11"/>
  <c r="I46" i="38"/>
  <c r="H28" i="38"/>
  <c r="H20" i="38"/>
  <c r="I18" i="38"/>
  <c r="I41" i="11"/>
  <c r="J34" i="11"/>
  <c r="E52" i="11"/>
  <c r="E56" i="11"/>
  <c r="E53" i="11"/>
  <c r="F48" i="46"/>
  <c r="D57" i="11"/>
  <c r="D58" i="11"/>
  <c r="H29" i="38"/>
  <c r="G30" i="38"/>
  <c r="G39" i="38"/>
  <c r="G46" i="46"/>
  <c r="G43" i="46"/>
  <c r="G45" i="46"/>
  <c r="H33" i="46"/>
  <c r="H41" i="46"/>
  <c r="L31" i="46"/>
  <c r="M21" i="46"/>
  <c r="L23" i="46"/>
  <c r="K36" i="46"/>
  <c r="J40" i="46"/>
  <c r="M14" i="46"/>
  <c r="L29" i="46"/>
  <c r="I32" i="46"/>
  <c r="J12" i="46"/>
  <c r="J28" i="46"/>
  <c r="I18" i="46"/>
  <c r="I24" i="46"/>
  <c r="F41" i="38"/>
  <c r="F50" i="38"/>
  <c r="F43" i="38"/>
  <c r="F45" i="38"/>
  <c r="F47" i="38"/>
  <c r="F51" i="38"/>
  <c r="V27" i="38"/>
  <c r="G23" i="11"/>
  <c r="G29" i="11"/>
  <c r="G31" i="11"/>
  <c r="G43" i="11"/>
  <c r="H5" i="11"/>
  <c r="H12" i="11"/>
  <c r="H20" i="11"/>
  <c r="J25" i="38"/>
  <c r="K9" i="38"/>
  <c r="F53" i="11"/>
  <c r="F56" i="11"/>
  <c r="F52" i="11"/>
  <c r="M26" i="11"/>
  <c r="AF50" i="11"/>
  <c r="AE51" i="11"/>
  <c r="I11" i="38"/>
  <c r="I26" i="38"/>
  <c r="H15" i="38"/>
  <c r="H21" i="38"/>
  <c r="I28" i="11"/>
  <c r="J17" i="11"/>
  <c r="I18" i="11"/>
  <c r="L6" i="11"/>
  <c r="K24" i="11"/>
  <c r="J8" i="11"/>
  <c r="I25" i="11"/>
  <c r="N15" i="11"/>
  <c r="M27" i="11"/>
  <c r="I38" i="38"/>
  <c r="J33" i="38"/>
  <c r="J46" i="38"/>
  <c r="I28" i="38"/>
  <c r="J18" i="38"/>
  <c r="I20" i="38"/>
  <c r="J41" i="11"/>
  <c r="K34" i="11"/>
  <c r="D62" i="11"/>
  <c r="D64" i="11"/>
  <c r="D66" i="11"/>
  <c r="G48" i="46"/>
  <c r="E57" i="11"/>
  <c r="E58" i="11"/>
  <c r="E62" i="11"/>
  <c r="H30" i="38"/>
  <c r="H39" i="38"/>
  <c r="H41" i="38"/>
  <c r="H50" i="38"/>
  <c r="H43" i="38"/>
  <c r="H45" i="38"/>
  <c r="H46" i="46"/>
  <c r="H43" i="46"/>
  <c r="H45" i="46"/>
  <c r="L36" i="46"/>
  <c r="K40" i="46"/>
  <c r="M31" i="46"/>
  <c r="N21" i="46"/>
  <c r="M23" i="46"/>
  <c r="I29" i="38"/>
  <c r="I33" i="46"/>
  <c r="I41" i="46"/>
  <c r="N14" i="46"/>
  <c r="M29" i="46"/>
  <c r="J32" i="46"/>
  <c r="J18" i="46"/>
  <c r="J24" i="46"/>
  <c r="K12" i="46"/>
  <c r="K28" i="46"/>
  <c r="G41" i="38"/>
  <c r="G50" i="38"/>
  <c r="G43" i="38"/>
  <c r="G45" i="38"/>
  <c r="G47" i="38"/>
  <c r="G51" i="38"/>
  <c r="W27" i="38"/>
  <c r="F48" i="38"/>
  <c r="G53" i="11"/>
  <c r="G56" i="11"/>
  <c r="G52" i="11"/>
  <c r="H23" i="11"/>
  <c r="H29" i="11"/>
  <c r="H31" i="11"/>
  <c r="H43" i="11"/>
  <c r="H52" i="11"/>
  <c r="I5" i="11"/>
  <c r="I12" i="11"/>
  <c r="I20" i="11"/>
  <c r="K25" i="38"/>
  <c r="L9" i="38"/>
  <c r="N26" i="11"/>
  <c r="AG50" i="11"/>
  <c r="AF51" i="11"/>
  <c r="J11" i="38"/>
  <c r="J26" i="38"/>
  <c r="I15" i="38"/>
  <c r="I21" i="38"/>
  <c r="K46" i="38"/>
  <c r="J20" i="38"/>
  <c r="K18" i="38"/>
  <c r="J28" i="38"/>
  <c r="O15" i="11"/>
  <c r="N27" i="11"/>
  <c r="M6" i="11"/>
  <c r="L24" i="11"/>
  <c r="L34" i="11"/>
  <c r="K41" i="11"/>
  <c r="K8" i="11"/>
  <c r="J25" i="11"/>
  <c r="J28" i="11"/>
  <c r="K17" i="11"/>
  <c r="J18" i="11"/>
  <c r="K33" i="38"/>
  <c r="J38" i="38"/>
  <c r="H48" i="46"/>
  <c r="F57" i="11"/>
  <c r="F58" i="11"/>
  <c r="F62" i="11"/>
  <c r="I30" i="38"/>
  <c r="I39" i="38"/>
  <c r="J29" i="38"/>
  <c r="I46" i="46"/>
  <c r="I43" i="46"/>
  <c r="I45" i="46"/>
  <c r="J33" i="46"/>
  <c r="J41" i="46"/>
  <c r="N31" i="46"/>
  <c r="O21" i="46"/>
  <c r="N23" i="46"/>
  <c r="M36" i="46"/>
  <c r="L40" i="46"/>
  <c r="O14" i="46"/>
  <c r="N29" i="46"/>
  <c r="K32" i="46"/>
  <c r="L12" i="46"/>
  <c r="L28" i="46"/>
  <c r="K18" i="46"/>
  <c r="K24" i="46"/>
  <c r="G48" i="38"/>
  <c r="Y27" i="38"/>
  <c r="X27" i="38"/>
  <c r="H47" i="38"/>
  <c r="H51" i="38"/>
  <c r="I23" i="11"/>
  <c r="I29" i="11"/>
  <c r="I31" i="11"/>
  <c r="I43" i="11"/>
  <c r="I52" i="11"/>
  <c r="J5" i="11"/>
  <c r="J12" i="11"/>
  <c r="J20" i="11"/>
  <c r="L25" i="38"/>
  <c r="M9" i="38"/>
  <c r="H53" i="11"/>
  <c r="H56" i="11"/>
  <c r="O26" i="11"/>
  <c r="AG51" i="11"/>
  <c r="AH50" i="11"/>
  <c r="K11" i="38"/>
  <c r="K26" i="38"/>
  <c r="J15" i="38"/>
  <c r="J21" i="38"/>
  <c r="K38" i="38"/>
  <c r="L33" i="38"/>
  <c r="O27" i="11"/>
  <c r="P15" i="11"/>
  <c r="L18" i="38"/>
  <c r="K20" i="38"/>
  <c r="K28" i="38"/>
  <c r="K28" i="11"/>
  <c r="L17" i="11"/>
  <c r="K18" i="11"/>
  <c r="L41" i="11"/>
  <c r="M34" i="11"/>
  <c r="K25" i="11"/>
  <c r="L8" i="11"/>
  <c r="M24" i="11"/>
  <c r="N6" i="11"/>
  <c r="L46" i="38"/>
  <c r="I48" i="46"/>
  <c r="G57" i="11"/>
  <c r="G58" i="11"/>
  <c r="G62" i="11"/>
  <c r="J30" i="38"/>
  <c r="J39" i="38"/>
  <c r="J41" i="38"/>
  <c r="J50" i="38"/>
  <c r="J43" i="38"/>
  <c r="J45" i="38"/>
  <c r="J46" i="46"/>
  <c r="K33" i="46"/>
  <c r="K41" i="46"/>
  <c r="J43" i="46"/>
  <c r="J45" i="46"/>
  <c r="N36" i="46"/>
  <c r="M40" i="46"/>
  <c r="O31" i="46"/>
  <c r="P21" i="46"/>
  <c r="O23" i="46"/>
  <c r="K29" i="38"/>
  <c r="P14" i="46"/>
  <c r="O29" i="46"/>
  <c r="L32" i="46"/>
  <c r="M12" i="46"/>
  <c r="M28" i="46"/>
  <c r="L18" i="46"/>
  <c r="L24" i="46"/>
  <c r="J23" i="11"/>
  <c r="J29" i="11"/>
  <c r="J31" i="11"/>
  <c r="J43" i="11"/>
  <c r="J52" i="11"/>
  <c r="I41" i="38"/>
  <c r="I50" i="38"/>
  <c r="I43" i="38"/>
  <c r="I45" i="38"/>
  <c r="H48" i="38"/>
  <c r="K5" i="11"/>
  <c r="K12" i="11"/>
  <c r="K20" i="11"/>
  <c r="I53" i="11"/>
  <c r="I56" i="11"/>
  <c r="M25" i="38"/>
  <c r="N9" i="38"/>
  <c r="P26" i="11"/>
  <c r="AH51" i="11"/>
  <c r="AI50" i="11"/>
  <c r="L11" i="38"/>
  <c r="L26" i="38"/>
  <c r="K15" i="38"/>
  <c r="K21" i="38"/>
  <c r="K30" i="38"/>
  <c r="M17" i="11"/>
  <c r="L28" i="11"/>
  <c r="L18" i="11"/>
  <c r="M18" i="38"/>
  <c r="L28" i="38"/>
  <c r="L20" i="38"/>
  <c r="M33" i="38"/>
  <c r="L38" i="38"/>
  <c r="N24" i="11"/>
  <c r="O6" i="11"/>
  <c r="M46" i="38"/>
  <c r="P27" i="11"/>
  <c r="Q15" i="11"/>
  <c r="M8" i="11"/>
  <c r="L25" i="11"/>
  <c r="M41" i="11"/>
  <c r="N34" i="11"/>
  <c r="J48" i="46"/>
  <c r="H57" i="11"/>
  <c r="H58" i="11"/>
  <c r="H62" i="11"/>
  <c r="K46" i="46"/>
  <c r="K43" i="46"/>
  <c r="K45" i="46"/>
  <c r="P31" i="46"/>
  <c r="Q21" i="46"/>
  <c r="P23" i="46"/>
  <c r="O36" i="46"/>
  <c r="N40" i="46"/>
  <c r="Q14" i="46"/>
  <c r="P29" i="46"/>
  <c r="L29" i="38"/>
  <c r="L33" i="46"/>
  <c r="L41" i="46"/>
  <c r="N12" i="46"/>
  <c r="N28" i="46"/>
  <c r="M18" i="46"/>
  <c r="M24" i="46"/>
  <c r="M32" i="46"/>
  <c r="I47" i="38"/>
  <c r="I51" i="38"/>
  <c r="K39" i="38"/>
  <c r="K41" i="38"/>
  <c r="K50" i="38"/>
  <c r="K43" i="38"/>
  <c r="K45" i="38"/>
  <c r="J47" i="38"/>
  <c r="J51" i="38"/>
  <c r="L5" i="11"/>
  <c r="L12" i="11"/>
  <c r="L20" i="11"/>
  <c r="K23" i="11"/>
  <c r="K29" i="11"/>
  <c r="K31" i="11"/>
  <c r="K43" i="11"/>
  <c r="O9" i="38"/>
  <c r="N25" i="38"/>
  <c r="Q26" i="11"/>
  <c r="AJ50" i="11"/>
  <c r="AI51" i="11"/>
  <c r="M11" i="38"/>
  <c r="M26" i="38"/>
  <c r="L15" i="38"/>
  <c r="L21" i="38"/>
  <c r="J53" i="11"/>
  <c r="J56" i="11"/>
  <c r="Q27" i="11"/>
  <c r="R15" i="11"/>
  <c r="N33" i="38"/>
  <c r="M38" i="38"/>
  <c r="M28" i="11"/>
  <c r="N17" i="11"/>
  <c r="M18" i="11"/>
  <c r="P6" i="11"/>
  <c r="O24" i="11"/>
  <c r="M28" i="38"/>
  <c r="N18" i="38"/>
  <c r="M20" i="38"/>
  <c r="N46" i="38"/>
  <c r="M25" i="11"/>
  <c r="N8" i="11"/>
  <c r="N41" i="11"/>
  <c r="O34" i="11"/>
  <c r="K48" i="46"/>
  <c r="I57" i="11"/>
  <c r="I58" i="11"/>
  <c r="I62" i="11"/>
  <c r="L46" i="46"/>
  <c r="L43" i="46"/>
  <c r="L45" i="46"/>
  <c r="L30" i="38"/>
  <c r="L39" i="38"/>
  <c r="L41" i="38"/>
  <c r="L50" i="38"/>
  <c r="L43" i="38"/>
  <c r="L45" i="38"/>
  <c r="P36" i="46"/>
  <c r="O40" i="46"/>
  <c r="Q31" i="46"/>
  <c r="R21" i="46"/>
  <c r="Q23" i="46"/>
  <c r="M29" i="38"/>
  <c r="R14" i="46"/>
  <c r="Q29" i="46"/>
  <c r="M5" i="11"/>
  <c r="M12" i="11"/>
  <c r="M20" i="11"/>
  <c r="M33" i="46"/>
  <c r="M41" i="46"/>
  <c r="N32" i="46"/>
  <c r="O12" i="46"/>
  <c r="O28" i="46"/>
  <c r="N18" i="46"/>
  <c r="N24" i="46"/>
  <c r="L23" i="11"/>
  <c r="L29" i="11"/>
  <c r="L31" i="11"/>
  <c r="L43" i="11"/>
  <c r="L53" i="11"/>
  <c r="I48" i="38"/>
  <c r="J48" i="38"/>
  <c r="K47" i="38"/>
  <c r="K51" i="38"/>
  <c r="P9" i="38"/>
  <c r="O25" i="38"/>
  <c r="R26" i="11"/>
  <c r="AK50" i="11"/>
  <c r="AJ51" i="11"/>
  <c r="N11" i="38"/>
  <c r="N26" i="38"/>
  <c r="M15" i="38"/>
  <c r="M21" i="38"/>
  <c r="K52" i="11"/>
  <c r="K53" i="11"/>
  <c r="K56" i="11"/>
  <c r="R27" i="11"/>
  <c r="S15" i="11"/>
  <c r="N28" i="38"/>
  <c r="O18" i="38"/>
  <c r="N20" i="38"/>
  <c r="P34" i="11"/>
  <c r="O41" i="11"/>
  <c r="O17" i="11"/>
  <c r="N28" i="11"/>
  <c r="N18" i="11"/>
  <c r="N25" i="11"/>
  <c r="O8" i="11"/>
  <c r="O46" i="38"/>
  <c r="P24" i="11"/>
  <c r="Q6" i="11"/>
  <c r="N38" i="38"/>
  <c r="O33" i="38"/>
  <c r="L48" i="46"/>
  <c r="J57" i="11"/>
  <c r="J58" i="11"/>
  <c r="J62" i="11"/>
  <c r="N29" i="38"/>
  <c r="M30" i="38"/>
  <c r="M46" i="46"/>
  <c r="M43" i="46"/>
  <c r="M45" i="46"/>
  <c r="R31" i="46"/>
  <c r="R23" i="46"/>
  <c r="S21" i="46"/>
  <c r="Q36" i="46"/>
  <c r="P40" i="46"/>
  <c r="N33" i="46"/>
  <c r="N41" i="46"/>
  <c r="S14" i="46"/>
  <c r="R29" i="46"/>
  <c r="O32" i="46"/>
  <c r="P12" i="46"/>
  <c r="P28" i="46"/>
  <c r="O18" i="46"/>
  <c r="O24" i="46"/>
  <c r="M23" i="11"/>
  <c r="M29" i="11"/>
  <c r="M31" i="11"/>
  <c r="M43" i="11"/>
  <c r="M53" i="11"/>
  <c r="N5" i="11"/>
  <c r="N12" i="11"/>
  <c r="N20" i="11"/>
  <c r="M39" i="38"/>
  <c r="M41" i="38"/>
  <c r="M50" i="38"/>
  <c r="M43" i="38"/>
  <c r="M45" i="38"/>
  <c r="K48" i="38"/>
  <c r="L47" i="38"/>
  <c r="L51" i="38"/>
  <c r="P25" i="38"/>
  <c r="Q9" i="38"/>
  <c r="L56" i="11"/>
  <c r="L52" i="11"/>
  <c r="S26" i="11"/>
  <c r="AL50" i="11"/>
  <c r="AK51" i="11"/>
  <c r="N15" i="38"/>
  <c r="N21" i="38"/>
  <c r="O11" i="38"/>
  <c r="O26" i="38"/>
  <c r="O28" i="38"/>
  <c r="P18" i="38"/>
  <c r="O20" i="38"/>
  <c r="P33" i="38"/>
  <c r="O38" i="38"/>
  <c r="P17" i="11"/>
  <c r="O28" i="11"/>
  <c r="O18" i="11"/>
  <c r="Q34" i="11"/>
  <c r="P41" i="11"/>
  <c r="P46" i="38"/>
  <c r="P8" i="11"/>
  <c r="O25" i="11"/>
  <c r="R6" i="11"/>
  <c r="Q24" i="11"/>
  <c r="T15" i="11"/>
  <c r="S27" i="11"/>
  <c r="M48" i="46"/>
  <c r="K57" i="11"/>
  <c r="K58" i="11"/>
  <c r="K62" i="11"/>
  <c r="N30" i="38"/>
  <c r="N39" i="38"/>
  <c r="N41" i="38"/>
  <c r="N50" i="38"/>
  <c r="N43" i="38"/>
  <c r="N45" i="38"/>
  <c r="N46" i="46"/>
  <c r="N43" i="46"/>
  <c r="N45" i="46"/>
  <c r="O33" i="46"/>
  <c r="O41" i="46"/>
  <c r="S31" i="46"/>
  <c r="S23" i="46"/>
  <c r="T21" i="46"/>
  <c r="R36" i="46"/>
  <c r="Q40" i="46"/>
  <c r="T14" i="46"/>
  <c r="S29" i="46"/>
  <c r="O29" i="38"/>
  <c r="M52" i="11"/>
  <c r="P32" i="46"/>
  <c r="Q12" i="46"/>
  <c r="Q28" i="46"/>
  <c r="P18" i="46"/>
  <c r="P24" i="46"/>
  <c r="M56" i="11"/>
  <c r="O5" i="11"/>
  <c r="O12" i="11"/>
  <c r="O20" i="11"/>
  <c r="N23" i="11"/>
  <c r="N29" i="11"/>
  <c r="N31" i="11"/>
  <c r="N43" i="11"/>
  <c r="L48" i="38"/>
  <c r="M47" i="38"/>
  <c r="M51" i="38"/>
  <c r="R9" i="38"/>
  <c r="Q25" i="38"/>
  <c r="T26" i="11"/>
  <c r="AM50" i="11"/>
  <c r="AL51" i="11"/>
  <c r="O15" i="38"/>
  <c r="O21" i="38"/>
  <c r="P11" i="38"/>
  <c r="P26" i="38"/>
  <c r="P25" i="11"/>
  <c r="Q8" i="11"/>
  <c r="P38" i="38"/>
  <c r="Q33" i="38"/>
  <c r="S6" i="11"/>
  <c r="R24" i="11"/>
  <c r="P20" i="38"/>
  <c r="Q18" i="38"/>
  <c r="P28" i="38"/>
  <c r="R34" i="11"/>
  <c r="Q41" i="11"/>
  <c r="Q46" i="38"/>
  <c r="U15" i="11"/>
  <c r="T27" i="11"/>
  <c r="P28" i="11"/>
  <c r="Q17" i="11"/>
  <c r="P18" i="11"/>
  <c r="N48" i="46"/>
  <c r="L57" i="11"/>
  <c r="L58" i="11"/>
  <c r="L62" i="11"/>
  <c r="O23" i="11"/>
  <c r="O29" i="11"/>
  <c r="O31" i="11"/>
  <c r="O43" i="11"/>
  <c r="O52" i="11"/>
  <c r="O46" i="46"/>
  <c r="O43" i="46"/>
  <c r="O45" i="46"/>
  <c r="O30" i="38"/>
  <c r="O39" i="38"/>
  <c r="S36" i="46"/>
  <c r="R40" i="46"/>
  <c r="T31" i="46"/>
  <c r="T23" i="46"/>
  <c r="P5" i="11"/>
  <c r="P12" i="11"/>
  <c r="P20" i="11"/>
  <c r="P29" i="38"/>
  <c r="T29" i="46"/>
  <c r="P33" i="46"/>
  <c r="P41" i="46"/>
  <c r="Q32" i="46"/>
  <c r="R12" i="46"/>
  <c r="R28" i="46"/>
  <c r="Q18" i="46"/>
  <c r="Q24" i="46"/>
  <c r="M48" i="38"/>
  <c r="N47" i="38"/>
  <c r="N51" i="38"/>
  <c r="S9" i="38"/>
  <c r="R25" i="38"/>
  <c r="U26" i="11"/>
  <c r="AM51" i="11"/>
  <c r="AN50" i="11"/>
  <c r="N53" i="11"/>
  <c r="N56" i="11"/>
  <c r="P15" i="38"/>
  <c r="P21" i="38"/>
  <c r="Q11" i="38"/>
  <c r="Q26" i="38"/>
  <c r="N52" i="11"/>
  <c r="Q25" i="11"/>
  <c r="R8" i="11"/>
  <c r="U27" i="11"/>
  <c r="V15" i="11"/>
  <c r="R18" i="38"/>
  <c r="Q28" i="38"/>
  <c r="Q20" i="38"/>
  <c r="Q38" i="38"/>
  <c r="R33" i="38"/>
  <c r="R46" i="38"/>
  <c r="S24" i="11"/>
  <c r="T6" i="11"/>
  <c r="Q28" i="11"/>
  <c r="R17" i="11"/>
  <c r="Q18" i="11"/>
  <c r="S34" i="11"/>
  <c r="R41" i="11"/>
  <c r="O48" i="46"/>
  <c r="M57" i="11"/>
  <c r="M58" i="11"/>
  <c r="M62" i="11"/>
  <c r="P23" i="11"/>
  <c r="P29" i="11"/>
  <c r="P31" i="11"/>
  <c r="P43" i="11"/>
  <c r="P52" i="11"/>
  <c r="Q5" i="11"/>
  <c r="Q12" i="11"/>
  <c r="Q20" i="11"/>
  <c r="P30" i="38"/>
  <c r="P39" i="38"/>
  <c r="P41" i="38"/>
  <c r="P50" i="38"/>
  <c r="P43" i="38"/>
  <c r="P45" i="38"/>
  <c r="Q29" i="38"/>
  <c r="P46" i="46"/>
  <c r="P43" i="46"/>
  <c r="P45" i="46"/>
  <c r="T36" i="46"/>
  <c r="T40" i="46"/>
  <c r="S40" i="46"/>
  <c r="R32" i="46"/>
  <c r="R18" i="46"/>
  <c r="R24" i="46"/>
  <c r="S12" i="46"/>
  <c r="S28" i="46"/>
  <c r="Q33" i="46"/>
  <c r="Q41" i="46"/>
  <c r="O41" i="38"/>
  <c r="O50" i="38"/>
  <c r="O43" i="38"/>
  <c r="O45" i="38"/>
  <c r="N48" i="38"/>
  <c r="T9" i="38"/>
  <c r="S25" i="38"/>
  <c r="O53" i="11"/>
  <c r="O56" i="11"/>
  <c r="V26" i="11"/>
  <c r="AO50" i="11"/>
  <c r="AN51" i="11"/>
  <c r="R11" i="38"/>
  <c r="R26" i="38"/>
  <c r="Q15" i="38"/>
  <c r="Q21" i="38"/>
  <c r="S41" i="11"/>
  <c r="T34" i="11"/>
  <c r="S8" i="11"/>
  <c r="R25" i="11"/>
  <c r="R28" i="38"/>
  <c r="S18" i="38"/>
  <c r="R20" i="38"/>
  <c r="S46" i="38"/>
  <c r="S17" i="11"/>
  <c r="R28" i="11"/>
  <c r="R18" i="11"/>
  <c r="V27" i="11"/>
  <c r="W15" i="11"/>
  <c r="U6" i="11"/>
  <c r="T24" i="11"/>
  <c r="S33" i="38"/>
  <c r="R38" i="38"/>
  <c r="P48" i="46"/>
  <c r="N57" i="11"/>
  <c r="N58" i="11"/>
  <c r="N62" i="11"/>
  <c r="R5" i="11"/>
  <c r="R12" i="11"/>
  <c r="R20" i="11"/>
  <c r="Q23" i="11"/>
  <c r="Q29" i="11"/>
  <c r="Q31" i="11"/>
  <c r="Q43" i="11"/>
  <c r="Q52" i="11"/>
  <c r="Q30" i="38"/>
  <c r="Q39" i="38"/>
  <c r="Q41" i="38"/>
  <c r="Q50" i="38"/>
  <c r="Q43" i="38"/>
  <c r="Q45" i="38"/>
  <c r="Q46" i="46"/>
  <c r="Q43" i="46"/>
  <c r="Q45" i="46"/>
  <c r="R29" i="38"/>
  <c r="S32" i="46"/>
  <c r="T12" i="46"/>
  <c r="T28" i="46"/>
  <c r="S18" i="46"/>
  <c r="S24" i="46"/>
  <c r="R33" i="46"/>
  <c r="R41" i="46"/>
  <c r="O47" i="38"/>
  <c r="O51" i="38"/>
  <c r="P47" i="38"/>
  <c r="P51" i="38"/>
  <c r="U9" i="38"/>
  <c r="T25" i="38"/>
  <c r="P53" i="11"/>
  <c r="P56" i="11"/>
  <c r="W26" i="11"/>
  <c r="AP50" i="11"/>
  <c r="AO51" i="11"/>
  <c r="R15" i="38"/>
  <c r="R21" i="38"/>
  <c r="S11" i="38"/>
  <c r="S26" i="38"/>
  <c r="S20" i="38"/>
  <c r="T18" i="38"/>
  <c r="S28" i="38"/>
  <c r="T46" i="38"/>
  <c r="S28" i="11"/>
  <c r="T17" i="11"/>
  <c r="S18" i="11"/>
  <c r="U24" i="11"/>
  <c r="V6" i="11"/>
  <c r="T8" i="11"/>
  <c r="S25" i="11"/>
  <c r="T33" i="38"/>
  <c r="S38" i="38"/>
  <c r="X15" i="11"/>
  <c r="W27" i="11"/>
  <c r="U34" i="11"/>
  <c r="T41" i="11"/>
  <c r="Q48" i="46"/>
  <c r="O57" i="11"/>
  <c r="O58" i="11"/>
  <c r="O62" i="11"/>
  <c r="S5" i="11"/>
  <c r="S12" i="11"/>
  <c r="R23" i="11"/>
  <c r="R29" i="11"/>
  <c r="R31" i="11"/>
  <c r="R43" i="11"/>
  <c r="R53" i="11"/>
  <c r="R30" i="38"/>
  <c r="R39" i="38"/>
  <c r="R46" i="46"/>
  <c r="R43" i="46"/>
  <c r="R45" i="46"/>
  <c r="S29" i="38"/>
  <c r="S33" i="46"/>
  <c r="S41" i="46"/>
  <c r="T32" i="46"/>
  <c r="T18" i="46"/>
  <c r="T24" i="46"/>
  <c r="O48" i="38"/>
  <c r="P48" i="38"/>
  <c r="Q47" i="38"/>
  <c r="Q51" i="38"/>
  <c r="U25" i="38"/>
  <c r="V9" i="38"/>
  <c r="Q56" i="11"/>
  <c r="Q53" i="11"/>
  <c r="X26" i="11"/>
  <c r="AP51" i="11"/>
  <c r="AQ50" i="11"/>
  <c r="AQ51" i="11"/>
  <c r="T11" i="38"/>
  <c r="T26" i="38"/>
  <c r="S15" i="38"/>
  <c r="S21" i="38"/>
  <c r="S20" i="11"/>
  <c r="U18" i="38"/>
  <c r="T28" i="38"/>
  <c r="T20" i="38"/>
  <c r="T25" i="11"/>
  <c r="U8" i="11"/>
  <c r="T28" i="11"/>
  <c r="U17" i="11"/>
  <c r="T18" i="11"/>
  <c r="Y15" i="11"/>
  <c r="X27" i="11"/>
  <c r="V34" i="11"/>
  <c r="U41" i="11"/>
  <c r="V24" i="11"/>
  <c r="W6" i="11"/>
  <c r="U46" i="38"/>
  <c r="U33" i="38"/>
  <c r="T38" i="38"/>
  <c r="R48" i="46"/>
  <c r="P57" i="11"/>
  <c r="P58" i="11"/>
  <c r="P62" i="11"/>
  <c r="T5" i="11"/>
  <c r="T12" i="11"/>
  <c r="T20" i="11"/>
  <c r="S23" i="11"/>
  <c r="S29" i="11"/>
  <c r="S31" i="11"/>
  <c r="S43" i="11"/>
  <c r="S56" i="11"/>
  <c r="S58" i="11"/>
  <c r="S30" i="38"/>
  <c r="S39" i="38"/>
  <c r="S41" i="38"/>
  <c r="S50" i="38"/>
  <c r="S43" i="38"/>
  <c r="S45" i="38"/>
  <c r="S46" i="46"/>
  <c r="S43" i="46"/>
  <c r="S45" i="46"/>
  <c r="T29" i="38"/>
  <c r="T33" i="46"/>
  <c r="T41" i="46"/>
  <c r="R41" i="38"/>
  <c r="R50" i="38"/>
  <c r="R43" i="38"/>
  <c r="R45" i="38"/>
  <c r="Q48" i="38"/>
  <c r="W9" i="38"/>
  <c r="V25" i="38"/>
  <c r="Y26" i="11"/>
  <c r="R56" i="11"/>
  <c r="U11" i="38"/>
  <c r="U26" i="38"/>
  <c r="T15" i="38"/>
  <c r="T21" i="38"/>
  <c r="R52" i="11"/>
  <c r="W34" i="11"/>
  <c r="V41" i="11"/>
  <c r="U25" i="11"/>
  <c r="V8" i="11"/>
  <c r="U38" i="38"/>
  <c r="V33" i="38"/>
  <c r="V46" i="38"/>
  <c r="Y27" i="11"/>
  <c r="Z15" i="11"/>
  <c r="X6" i="11"/>
  <c r="W24" i="11"/>
  <c r="V17" i="11"/>
  <c r="U28" i="11"/>
  <c r="U18" i="11"/>
  <c r="V18" i="38"/>
  <c r="U28" i="38"/>
  <c r="U20" i="38"/>
  <c r="S62" i="11"/>
  <c r="S66" i="11"/>
  <c r="S71" i="11"/>
  <c r="S48" i="46"/>
  <c r="Q57" i="11"/>
  <c r="Q58" i="11"/>
  <c r="Q62" i="11"/>
  <c r="U5" i="11"/>
  <c r="U12" i="11"/>
  <c r="U20" i="11"/>
  <c r="T23" i="11"/>
  <c r="T29" i="11"/>
  <c r="T31" i="11"/>
  <c r="T43" i="11"/>
  <c r="T52" i="11"/>
  <c r="T30" i="38"/>
  <c r="T39" i="38"/>
  <c r="T41" i="38"/>
  <c r="T50" i="38"/>
  <c r="T43" i="38"/>
  <c r="T45" i="38"/>
  <c r="U29" i="38"/>
  <c r="C7" i="46"/>
  <c r="T46" i="46"/>
  <c r="T43" i="46"/>
  <c r="T45" i="46"/>
  <c r="R47" i="38"/>
  <c r="R51" i="38"/>
  <c r="S47" i="38"/>
  <c r="S51" i="38"/>
  <c r="X9" i="38"/>
  <c r="W25" i="38"/>
  <c r="S52" i="11"/>
  <c r="S53" i="11"/>
  <c r="Z26" i="11"/>
  <c r="U15" i="38"/>
  <c r="U21" i="38"/>
  <c r="V11" i="38"/>
  <c r="V26" i="38"/>
  <c r="AA15" i="11"/>
  <c r="Z27" i="11"/>
  <c r="W8" i="11"/>
  <c r="V25" i="11"/>
  <c r="W46" i="38"/>
  <c r="V38" i="38"/>
  <c r="W33" i="38"/>
  <c r="V20" i="38"/>
  <c r="W18" i="38"/>
  <c r="V28" i="38"/>
  <c r="X24" i="11"/>
  <c r="Y6" i="11"/>
  <c r="V28" i="11"/>
  <c r="W17" i="11"/>
  <c r="V18" i="11"/>
  <c r="X34" i="11"/>
  <c r="W41" i="11"/>
  <c r="U30" i="38"/>
  <c r="V5" i="11"/>
  <c r="V12" i="11"/>
  <c r="V20" i="11"/>
  <c r="U23" i="11"/>
  <c r="U29" i="11"/>
  <c r="U31" i="11"/>
  <c r="U43" i="11"/>
  <c r="U53" i="11"/>
  <c r="T48" i="46"/>
  <c r="R57" i="11"/>
  <c r="R58" i="11"/>
  <c r="R62" i="11"/>
  <c r="S69" i="11"/>
  <c r="S72" i="11"/>
  <c r="S67" i="11"/>
  <c r="S70" i="11"/>
  <c r="V29" i="38"/>
  <c r="S68" i="11"/>
  <c r="R48" i="38"/>
  <c r="U39" i="38"/>
  <c r="S48" i="38"/>
  <c r="T47" i="38"/>
  <c r="T51" i="38"/>
  <c r="X25" i="38"/>
  <c r="Y9" i="38"/>
  <c r="Y25" i="38"/>
  <c r="V23" i="11"/>
  <c r="V29" i="11"/>
  <c r="AA26" i="11"/>
  <c r="T53" i="11"/>
  <c r="T56" i="11"/>
  <c r="T58" i="11"/>
  <c r="T62" i="11"/>
  <c r="T66" i="11"/>
  <c r="V15" i="38"/>
  <c r="V21" i="38"/>
  <c r="W11" i="38"/>
  <c r="W26" i="38"/>
  <c r="X46" i="38"/>
  <c r="W28" i="38"/>
  <c r="W20" i="38"/>
  <c r="X18" i="38"/>
  <c r="W28" i="11"/>
  <c r="X17" i="11"/>
  <c r="W18" i="11"/>
  <c r="Z6" i="11"/>
  <c r="Y24" i="11"/>
  <c r="X33" i="38"/>
  <c r="W38" i="38"/>
  <c r="Y34" i="11"/>
  <c r="X41" i="11"/>
  <c r="X8" i="11"/>
  <c r="W25" i="11"/>
  <c r="AA27" i="11"/>
  <c r="AB15" i="11"/>
  <c r="W5" i="11"/>
  <c r="W12" i="11"/>
  <c r="W29" i="38"/>
  <c r="V30" i="38"/>
  <c r="V39" i="38"/>
  <c r="V41" i="38"/>
  <c r="V50" i="38"/>
  <c r="V43" i="38"/>
  <c r="V45" i="38"/>
  <c r="T71" i="11"/>
  <c r="U41" i="38"/>
  <c r="U50" i="38"/>
  <c r="U43" i="38"/>
  <c r="U45" i="38"/>
  <c r="T48" i="38"/>
  <c r="X5" i="11"/>
  <c r="X12" i="11"/>
  <c r="W23" i="11"/>
  <c r="W29" i="11"/>
  <c r="AB26" i="11"/>
  <c r="U52" i="11"/>
  <c r="U56" i="11"/>
  <c r="U58" i="11"/>
  <c r="X11" i="38"/>
  <c r="X26" i="38"/>
  <c r="W15" i="38"/>
  <c r="W21" i="38"/>
  <c r="V31" i="11"/>
  <c r="V43" i="11"/>
  <c r="V56" i="11"/>
  <c r="V58" i="11"/>
  <c r="X28" i="11"/>
  <c r="Y17" i="11"/>
  <c r="X18" i="11"/>
  <c r="Y18" i="38"/>
  <c r="X28" i="38"/>
  <c r="X20" i="38"/>
  <c r="Y33" i="38"/>
  <c r="Y38" i="38"/>
  <c r="X38" i="38"/>
  <c r="AC15" i="11"/>
  <c r="AB27" i="11"/>
  <c r="AA6" i="11"/>
  <c r="Z24" i="11"/>
  <c r="Y41" i="11"/>
  <c r="Z34" i="11"/>
  <c r="W20" i="11"/>
  <c r="X25" i="11"/>
  <c r="Y8" i="11"/>
  <c r="Y46" i="38"/>
  <c r="V62" i="11"/>
  <c r="V66" i="11"/>
  <c r="U62" i="11"/>
  <c r="U66" i="11"/>
  <c r="U70" i="11"/>
  <c r="W30" i="38"/>
  <c r="W39" i="38"/>
  <c r="W41" i="38"/>
  <c r="W50" i="38"/>
  <c r="W43" i="38"/>
  <c r="W45" i="38"/>
  <c r="T67" i="11"/>
  <c r="T70" i="11"/>
  <c r="X20" i="11"/>
  <c r="X29" i="38"/>
  <c r="T68" i="11"/>
  <c r="T69" i="11"/>
  <c r="T72" i="11"/>
  <c r="U47" i="38"/>
  <c r="U51" i="38"/>
  <c r="V47" i="38"/>
  <c r="V51" i="38"/>
  <c r="Y5" i="11"/>
  <c r="Y12" i="11"/>
  <c r="X23" i="11"/>
  <c r="X29" i="11"/>
  <c r="AC26" i="11"/>
  <c r="V52" i="11"/>
  <c r="V53" i="11"/>
  <c r="Y11" i="38"/>
  <c r="X15" i="38"/>
  <c r="X21" i="38"/>
  <c r="AA24" i="11"/>
  <c r="AB6" i="11"/>
  <c r="W31" i="11"/>
  <c r="W43" i="11"/>
  <c r="Z17" i="11"/>
  <c r="Y28" i="11"/>
  <c r="Y18" i="11"/>
  <c r="AA34" i="11"/>
  <c r="Z41" i="11"/>
  <c r="Y20" i="38"/>
  <c r="Y28" i="38"/>
  <c r="AC27" i="11"/>
  <c r="AD15" i="11"/>
  <c r="Z8" i="11"/>
  <c r="Y25" i="11"/>
  <c r="X31" i="11"/>
  <c r="X43" i="11"/>
  <c r="X52" i="11"/>
  <c r="X57" i="11"/>
  <c r="X30" i="38"/>
  <c r="X39" i="38"/>
  <c r="U67" i="11"/>
  <c r="U68" i="11"/>
  <c r="U69" i="11"/>
  <c r="U72" i="11"/>
  <c r="U71" i="11"/>
  <c r="Y15" i="38"/>
  <c r="Y21" i="38"/>
  <c r="Y26" i="38"/>
  <c r="Y29" i="38"/>
  <c r="U48" i="38"/>
  <c r="V48" i="38"/>
  <c r="W47" i="38"/>
  <c r="W51" i="38"/>
  <c r="Y23" i="11"/>
  <c r="Y29" i="11"/>
  <c r="Z5" i="11"/>
  <c r="Z12" i="11"/>
  <c r="AD26" i="11"/>
  <c r="Y20" i="11"/>
  <c r="V70" i="11"/>
  <c r="V67" i="11"/>
  <c r="V69" i="11"/>
  <c r="V68" i="11"/>
  <c r="V71" i="11"/>
  <c r="V72" i="11"/>
  <c r="X60" i="11"/>
  <c r="Z28" i="11"/>
  <c r="AA17" i="11"/>
  <c r="Z18" i="11"/>
  <c r="AC6" i="11"/>
  <c r="AB24" i="11"/>
  <c r="W52" i="11"/>
  <c r="W56" i="11"/>
  <c r="W58" i="11"/>
  <c r="W53" i="11"/>
  <c r="AA8" i="11"/>
  <c r="Z25" i="11"/>
  <c r="AE15" i="11"/>
  <c r="AD27" i="11"/>
  <c r="AA41" i="11"/>
  <c r="AB34" i="11"/>
  <c r="W62" i="11"/>
  <c r="W66" i="11"/>
  <c r="X53" i="11"/>
  <c r="X58" i="11"/>
  <c r="X62" i="11"/>
  <c r="X66" i="11"/>
  <c r="X56" i="11"/>
  <c r="Y30" i="38"/>
  <c r="Y39" i="38"/>
  <c r="Y41" i="38"/>
  <c r="Y50" i="38"/>
  <c r="Y43" i="38"/>
  <c r="Y45" i="38"/>
  <c r="C8" i="46"/>
  <c r="X41" i="38"/>
  <c r="X50" i="38"/>
  <c r="X43" i="38"/>
  <c r="X45" i="38"/>
  <c r="W48" i="38"/>
  <c r="Y31" i="11"/>
  <c r="Y43" i="11"/>
  <c r="Y53" i="11"/>
  <c r="Y58" i="11"/>
  <c r="Y62" i="11"/>
  <c r="Y66" i="11"/>
  <c r="Z23" i="11"/>
  <c r="Z29" i="11"/>
  <c r="AA5" i="11"/>
  <c r="AA12" i="11"/>
  <c r="AE26" i="11"/>
  <c r="AB17" i="11"/>
  <c r="AA28" i="11"/>
  <c r="AA18" i="11"/>
  <c r="AE27" i="11"/>
  <c r="AF15" i="11"/>
  <c r="Y60" i="11"/>
  <c r="AC34" i="11"/>
  <c r="AB41" i="11"/>
  <c r="AC24" i="11"/>
  <c r="AD6" i="11"/>
  <c r="Z20" i="11"/>
  <c r="AA25" i="11"/>
  <c r="AB8" i="11"/>
  <c r="AA20" i="11"/>
  <c r="C9" i="46"/>
  <c r="C10" i="46"/>
  <c r="X47" i="38"/>
  <c r="X51" i="38"/>
  <c r="Y47" i="38"/>
  <c r="Y51" i="38"/>
  <c r="Y56" i="11"/>
  <c r="Y52" i="11"/>
  <c r="Y57" i="11"/>
  <c r="AB5" i="11"/>
  <c r="AB12" i="11"/>
  <c r="AA23" i="11"/>
  <c r="AA29" i="11"/>
  <c r="AA31" i="11"/>
  <c r="AA43" i="11"/>
  <c r="AF26" i="11"/>
  <c r="W70" i="11"/>
  <c r="W71" i="11"/>
  <c r="W69" i="11"/>
  <c r="W67" i="11"/>
  <c r="W72" i="11"/>
  <c r="W68" i="11"/>
  <c r="X67" i="11"/>
  <c r="X72" i="11"/>
  <c r="X69" i="11"/>
  <c r="X71" i="11"/>
  <c r="X68" i="11"/>
  <c r="X70" i="11"/>
  <c r="AF27" i="11"/>
  <c r="AG15" i="11"/>
  <c r="AA60" i="11"/>
  <c r="AB25" i="11"/>
  <c r="AC8" i="11"/>
  <c r="AC17" i="11"/>
  <c r="AB28" i="11"/>
  <c r="AB18" i="11"/>
  <c r="AE6" i="11"/>
  <c r="AD24" i="11"/>
  <c r="Z31" i="11"/>
  <c r="Z43" i="11"/>
  <c r="AD34" i="11"/>
  <c r="AC41" i="11"/>
  <c r="F47" i="46"/>
  <c r="X48" i="38"/>
  <c r="Y48" i="38"/>
  <c r="G4" i="38"/>
  <c r="G5" i="38"/>
  <c r="G6" i="38"/>
  <c r="G52" i="38"/>
  <c r="G54" i="38"/>
  <c r="AA53" i="11"/>
  <c r="AA58" i="11"/>
  <c r="AA52" i="11"/>
  <c r="AA57" i="11"/>
  <c r="AA56" i="11"/>
  <c r="AC5" i="11"/>
  <c r="AC12" i="11"/>
  <c r="AB23" i="11"/>
  <c r="AB29" i="11"/>
  <c r="AG26" i="11"/>
  <c r="Y70" i="11"/>
  <c r="Y68" i="11"/>
  <c r="Y67" i="11"/>
  <c r="Y71" i="11"/>
  <c r="Y72" i="11"/>
  <c r="Y69" i="11"/>
  <c r="AB20" i="11"/>
  <c r="AD8" i="11"/>
  <c r="AC25" i="11"/>
  <c r="Z53" i="11"/>
  <c r="Z58" i="11"/>
  <c r="Z56" i="11"/>
  <c r="Z52" i="11"/>
  <c r="Z57" i="11"/>
  <c r="Z60" i="11"/>
  <c r="AE24" i="11"/>
  <c r="AF6" i="11"/>
  <c r="AD41" i="11"/>
  <c r="AE34" i="11"/>
  <c r="AC28" i="11"/>
  <c r="AD17" i="11"/>
  <c r="AC18" i="11"/>
  <c r="AH15" i="11"/>
  <c r="AG27" i="11"/>
  <c r="AA62" i="11"/>
  <c r="AA66" i="11"/>
  <c r="Z62" i="11"/>
  <c r="Z66" i="11"/>
  <c r="F44" i="46"/>
  <c r="G44" i="46"/>
  <c r="H44" i="46"/>
  <c r="I44" i="46"/>
  <c r="J44" i="46"/>
  <c r="K44" i="46"/>
  <c r="L44" i="46"/>
  <c r="M44" i="46"/>
  <c r="N44" i="46"/>
  <c r="O44" i="46"/>
  <c r="P44" i="46"/>
  <c r="Q44" i="46"/>
  <c r="R44" i="46"/>
  <c r="S44" i="46"/>
  <c r="T44" i="46"/>
  <c r="V52" i="38"/>
  <c r="V54" i="38"/>
  <c r="V55" i="38"/>
  <c r="V56" i="38"/>
  <c r="T52" i="38"/>
  <c r="T54" i="38"/>
  <c r="T55" i="38"/>
  <c r="T56" i="38"/>
  <c r="M52" i="38"/>
  <c r="M54" i="38"/>
  <c r="M55" i="38"/>
  <c r="M56" i="38"/>
  <c r="N52" i="38"/>
  <c r="N54" i="38"/>
  <c r="N55" i="38"/>
  <c r="N56" i="38"/>
  <c r="U52" i="38"/>
  <c r="U54" i="38"/>
  <c r="U55" i="38"/>
  <c r="U56" i="38"/>
  <c r="L52" i="38"/>
  <c r="L54" i="38"/>
  <c r="L55" i="38"/>
  <c r="L56" i="38"/>
  <c r="K52" i="38"/>
  <c r="K54" i="38"/>
  <c r="K55" i="38"/>
  <c r="K56" i="38"/>
  <c r="F52" i="38"/>
  <c r="F54" i="38"/>
  <c r="S52" i="38"/>
  <c r="S54" i="38"/>
  <c r="S55" i="38"/>
  <c r="S56" i="38"/>
  <c r="Q52" i="38"/>
  <c r="Q54" i="38"/>
  <c r="Q55" i="38"/>
  <c r="Q56" i="38"/>
  <c r="J52" i="38"/>
  <c r="J54" i="38"/>
  <c r="J55" i="38"/>
  <c r="J56" i="38"/>
  <c r="R52" i="38"/>
  <c r="R54" i="38"/>
  <c r="R55" i="38"/>
  <c r="R56" i="38"/>
  <c r="X52" i="38"/>
  <c r="X54" i="38"/>
  <c r="X55" i="38"/>
  <c r="X56" i="38"/>
  <c r="P52" i="38"/>
  <c r="P54" i="38"/>
  <c r="P55" i="38"/>
  <c r="P56" i="38"/>
  <c r="H52" i="38"/>
  <c r="H54" i="38"/>
  <c r="H55" i="38"/>
  <c r="H56" i="38"/>
  <c r="Y52" i="38"/>
  <c r="Y54" i="38"/>
  <c r="Y55" i="38"/>
  <c r="Y56" i="38"/>
  <c r="I52" i="38"/>
  <c r="I54" i="38"/>
  <c r="I55" i="38"/>
  <c r="I56" i="38"/>
  <c r="W52" i="38"/>
  <c r="W54" i="38"/>
  <c r="W55" i="38"/>
  <c r="W56" i="38"/>
  <c r="O52" i="38"/>
  <c r="O54" i="38"/>
  <c r="O55" i="38"/>
  <c r="O56" i="38"/>
  <c r="G55" i="38"/>
  <c r="G56" i="38"/>
  <c r="G7" i="38"/>
  <c r="F57" i="38"/>
  <c r="AC23" i="11"/>
  <c r="AC29" i="11"/>
  <c r="AD5" i="11"/>
  <c r="AD12" i="11"/>
  <c r="AH26" i="11"/>
  <c r="AB31" i="11"/>
  <c r="AB43" i="11"/>
  <c r="AB52" i="11"/>
  <c r="AB57" i="11"/>
  <c r="AC20" i="11"/>
  <c r="AI15" i="11"/>
  <c r="AH27" i="11"/>
  <c r="AE41" i="11"/>
  <c r="AF34" i="11"/>
  <c r="AE8" i="11"/>
  <c r="AD25" i="11"/>
  <c r="AE17" i="11"/>
  <c r="AD28" i="11"/>
  <c r="AD18" i="11"/>
  <c r="AG6" i="11"/>
  <c r="AF24" i="11"/>
  <c r="AA67" i="11"/>
  <c r="AA70" i="11"/>
  <c r="AA71" i="11"/>
  <c r="AA68" i="11"/>
  <c r="AA69" i="11"/>
  <c r="AA72" i="11"/>
  <c r="G47" i="46"/>
  <c r="F53" i="38"/>
  <c r="G53" i="38"/>
  <c r="H53" i="38"/>
  <c r="I53" i="38"/>
  <c r="J53" i="38"/>
  <c r="K53" i="38"/>
  <c r="L53" i="38"/>
  <c r="M53" i="38"/>
  <c r="N53" i="38"/>
  <c r="O53" i="38"/>
  <c r="P53" i="38"/>
  <c r="Q53" i="38"/>
  <c r="R53" i="38"/>
  <c r="S53" i="38"/>
  <c r="T53" i="38"/>
  <c r="U53" i="38"/>
  <c r="V53" i="38"/>
  <c r="W53" i="38"/>
  <c r="X53" i="38"/>
  <c r="Y53" i="38"/>
  <c r="F55" i="38"/>
  <c r="F56" i="38"/>
  <c r="F58" i="38"/>
  <c r="F59" i="38"/>
  <c r="AD23" i="11"/>
  <c r="AD29" i="11"/>
  <c r="AE5" i="11"/>
  <c r="AE12" i="11"/>
  <c r="AI26" i="11"/>
  <c r="AD20" i="11"/>
  <c r="AB56" i="11"/>
  <c r="AB60" i="11"/>
  <c r="AB53" i="11"/>
  <c r="AB58" i="11"/>
  <c r="AB62" i="11"/>
  <c r="AB66" i="11"/>
  <c r="AC31" i="11"/>
  <c r="AC43" i="11"/>
  <c r="AC56" i="11"/>
  <c r="Z70" i="11"/>
  <c r="Z68" i="11"/>
  <c r="Z67" i="11"/>
  <c r="Z71" i="11"/>
  <c r="Z69" i="11"/>
  <c r="Z72" i="11"/>
  <c r="AJ15" i="11"/>
  <c r="AI27" i="11"/>
  <c r="AF8" i="11"/>
  <c r="AE25" i="11"/>
  <c r="AF41" i="11"/>
  <c r="AG34" i="11"/>
  <c r="AG24" i="11"/>
  <c r="AH6" i="11"/>
  <c r="AE28" i="11"/>
  <c r="AF17" i="11"/>
  <c r="AE18" i="11"/>
  <c r="G57" i="38"/>
  <c r="G59" i="38"/>
  <c r="G60" i="38"/>
  <c r="G61" i="38"/>
  <c r="F60" i="38"/>
  <c r="F61" i="38"/>
  <c r="AF5" i="11"/>
  <c r="AF12" i="11"/>
  <c r="AE23" i="11"/>
  <c r="AE29" i="11"/>
  <c r="AD31" i="11"/>
  <c r="AD43" i="11"/>
  <c r="AD53" i="11"/>
  <c r="AD58" i="11"/>
  <c r="AJ26" i="11"/>
  <c r="AD60" i="11"/>
  <c r="AC53" i="11"/>
  <c r="AC58" i="11"/>
  <c r="AC52" i="11"/>
  <c r="AC57" i="11"/>
  <c r="AC60" i="11"/>
  <c r="AG17" i="11"/>
  <c r="AF28" i="11"/>
  <c r="AF18" i="11"/>
  <c r="AB67" i="11"/>
  <c r="AB68" i="11"/>
  <c r="AB71" i="11"/>
  <c r="AB69" i="11"/>
  <c r="AB72" i="11"/>
  <c r="AB70" i="11"/>
  <c r="AF25" i="11"/>
  <c r="AG8" i="11"/>
  <c r="AG41" i="11"/>
  <c r="AH34" i="11"/>
  <c r="AI6" i="11"/>
  <c r="AH24" i="11"/>
  <c r="AE20" i="11"/>
  <c r="AJ27" i="11"/>
  <c r="AK15" i="11"/>
  <c r="AC62" i="11"/>
  <c r="AC66" i="11"/>
  <c r="AC70" i="11"/>
  <c r="AD62" i="11"/>
  <c r="AD66" i="11"/>
  <c r="H47" i="46"/>
  <c r="G58" i="38"/>
  <c r="AD56" i="11"/>
  <c r="AE31" i="11"/>
  <c r="AE43" i="11"/>
  <c r="AE56" i="11"/>
  <c r="AD52" i="11"/>
  <c r="AD57" i="11"/>
  <c r="AF23" i="11"/>
  <c r="AF29" i="11"/>
  <c r="AG5" i="11"/>
  <c r="AK26" i="11"/>
  <c r="AF20" i="11"/>
  <c r="AL15" i="11"/>
  <c r="AK27" i="11"/>
  <c r="AG25" i="11"/>
  <c r="AH8" i="11"/>
  <c r="AE60" i="11"/>
  <c r="AJ6" i="11"/>
  <c r="AI24" i="11"/>
  <c r="AG28" i="11"/>
  <c r="AH17" i="11"/>
  <c r="AG18" i="11"/>
  <c r="AI34" i="11"/>
  <c r="AH41" i="11"/>
  <c r="AC67" i="11"/>
  <c r="AD69" i="11"/>
  <c r="AC72" i="11"/>
  <c r="AC71" i="11"/>
  <c r="AC69" i="11"/>
  <c r="AC68" i="11"/>
  <c r="H57" i="38"/>
  <c r="H59" i="38"/>
  <c r="H60" i="38"/>
  <c r="H61" i="38"/>
  <c r="AE53" i="11"/>
  <c r="AE58" i="11"/>
  <c r="AD72" i="11"/>
  <c r="AD70" i="11"/>
  <c r="AD67" i="11"/>
  <c r="AD68" i="11"/>
  <c r="AD71" i="11"/>
  <c r="AE52" i="11"/>
  <c r="AE57" i="11"/>
  <c r="AF31" i="11"/>
  <c r="AF43" i="11"/>
  <c r="AF53" i="11"/>
  <c r="AF58" i="11"/>
  <c r="AF62" i="11"/>
  <c r="AF66" i="11"/>
  <c r="AH5" i="11"/>
  <c r="AH12" i="11"/>
  <c r="AG23" i="11"/>
  <c r="AG29" i="11"/>
  <c r="AG12" i="11"/>
  <c r="AG20" i="11"/>
  <c r="AL26" i="11"/>
  <c r="AF60" i="11"/>
  <c r="AH28" i="11"/>
  <c r="AI17" i="11"/>
  <c r="AH18" i="11"/>
  <c r="AI8" i="11"/>
  <c r="AH25" i="11"/>
  <c r="AM15" i="11"/>
  <c r="AL27" i="11"/>
  <c r="AJ34" i="11"/>
  <c r="AI41" i="11"/>
  <c r="AJ24" i="11"/>
  <c r="AK6" i="11"/>
  <c r="AE62" i="11"/>
  <c r="AE66" i="11"/>
  <c r="I47" i="46"/>
  <c r="H58" i="38"/>
  <c r="AF52" i="11"/>
  <c r="AF57" i="11"/>
  <c r="AF56" i="11"/>
  <c r="AF72" i="11"/>
  <c r="AG31" i="11"/>
  <c r="AG43" i="11"/>
  <c r="AG52" i="11"/>
  <c r="AG57" i="11"/>
  <c r="AH23" i="11"/>
  <c r="AH29" i="11"/>
  <c r="AI5" i="11"/>
  <c r="AI12" i="11"/>
  <c r="AI20" i="11"/>
  <c r="AM26" i="11"/>
  <c r="AG60" i="11"/>
  <c r="AI28" i="11"/>
  <c r="AJ17" i="11"/>
  <c r="AI18" i="11"/>
  <c r="AL6" i="11"/>
  <c r="AK24" i="11"/>
  <c r="AM27" i="11"/>
  <c r="AN15" i="11"/>
  <c r="AJ41" i="11"/>
  <c r="AK34" i="11"/>
  <c r="AJ8" i="11"/>
  <c r="AI25" i="11"/>
  <c r="AH20" i="11"/>
  <c r="AE67" i="11"/>
  <c r="AE71" i="11"/>
  <c r="AE68" i="11"/>
  <c r="AE69" i="11"/>
  <c r="AE72" i="11"/>
  <c r="AE70" i="11"/>
  <c r="I57" i="38"/>
  <c r="I59" i="38"/>
  <c r="I60" i="38"/>
  <c r="I61" i="38"/>
  <c r="AF71" i="11"/>
  <c r="AG56" i="11"/>
  <c r="AG53" i="11"/>
  <c r="AG58" i="11"/>
  <c r="AG62" i="11"/>
  <c r="AG66" i="11"/>
  <c r="AF69" i="11"/>
  <c r="AF70" i="11"/>
  <c r="AF67" i="11"/>
  <c r="AF68" i="11"/>
  <c r="AJ5" i="11"/>
  <c r="AJ12" i="11"/>
  <c r="AI23" i="11"/>
  <c r="AI29" i="11"/>
  <c r="AI31" i="11"/>
  <c r="AI43" i="11"/>
  <c r="AI56" i="11"/>
  <c r="AH31" i="11"/>
  <c r="AH43" i="11"/>
  <c r="AH52" i="11"/>
  <c r="AH57" i="11"/>
  <c r="AN26" i="11"/>
  <c r="AK8" i="11"/>
  <c r="AJ25" i="11"/>
  <c r="AK41" i="11"/>
  <c r="AL34" i="11"/>
  <c r="AH60" i="11"/>
  <c r="AN27" i="11"/>
  <c r="AO15" i="11"/>
  <c r="AK17" i="11"/>
  <c r="AJ28" i="11"/>
  <c r="AJ18" i="11"/>
  <c r="AM6" i="11"/>
  <c r="AL24" i="11"/>
  <c r="J47" i="46"/>
  <c r="I58" i="38"/>
  <c r="J57" i="38"/>
  <c r="J59" i="38"/>
  <c r="J60" i="38"/>
  <c r="J61" i="38"/>
  <c r="AH53" i="11"/>
  <c r="AH58" i="11"/>
  <c r="AH56" i="11"/>
  <c r="AJ23" i="11"/>
  <c r="AJ29" i="11"/>
  <c r="AK5" i="11"/>
  <c r="AK12" i="11"/>
  <c r="AO26" i="11"/>
  <c r="AI53" i="11"/>
  <c r="AI58" i="11"/>
  <c r="AI60" i="11"/>
  <c r="AI52" i="11"/>
  <c r="AI57" i="11"/>
  <c r="AG67" i="11"/>
  <c r="AG72" i="11"/>
  <c r="AG69" i="11"/>
  <c r="AG71" i="11"/>
  <c r="AG68" i="11"/>
  <c r="AG70" i="11"/>
  <c r="AM34" i="11"/>
  <c r="AL41" i="11"/>
  <c r="AK25" i="11"/>
  <c r="AL8" i="11"/>
  <c r="K57" i="38"/>
  <c r="K59" i="38"/>
  <c r="AP15" i="11"/>
  <c r="AO27" i="11"/>
  <c r="AJ20" i="11"/>
  <c r="AL17" i="11"/>
  <c r="AK28" i="11"/>
  <c r="AK18" i="11"/>
  <c r="AM24" i="11"/>
  <c r="AN6" i="11"/>
  <c r="AI62" i="11"/>
  <c r="AI66" i="11"/>
  <c r="AH62" i="11"/>
  <c r="AH66" i="11"/>
  <c r="J58" i="38"/>
  <c r="K58" i="38"/>
  <c r="K60" i="38"/>
  <c r="K61" i="38"/>
  <c r="AL5" i="11"/>
  <c r="AL12" i="11"/>
  <c r="AK23" i="11"/>
  <c r="AK29" i="11"/>
  <c r="AP26" i="11"/>
  <c r="AQ26" i="11"/>
  <c r="AK20" i="11"/>
  <c r="AJ31" i="11"/>
  <c r="AJ43" i="11"/>
  <c r="AJ56" i="11"/>
  <c r="AP27" i="11"/>
  <c r="AQ15" i="11"/>
  <c r="AM17" i="11"/>
  <c r="AL28" i="11"/>
  <c r="AL18" i="11"/>
  <c r="AN34" i="11"/>
  <c r="AM41" i="11"/>
  <c r="AM8" i="11"/>
  <c r="AL25" i="11"/>
  <c r="AO6" i="11"/>
  <c r="AN24" i="11"/>
  <c r="AH70" i="11"/>
  <c r="AH72" i="11"/>
  <c r="AH69" i="11"/>
  <c r="AH67" i="11"/>
  <c r="AH71" i="11"/>
  <c r="AH68" i="11"/>
  <c r="AI69" i="11"/>
  <c r="AI67" i="11"/>
  <c r="AI68" i="11"/>
  <c r="AI72" i="11"/>
  <c r="AI71" i="11"/>
  <c r="AI70" i="11"/>
  <c r="K47" i="46"/>
  <c r="AM5" i="11"/>
  <c r="AM12" i="11"/>
  <c r="AL23" i="11"/>
  <c r="AL29" i="11"/>
  <c r="AK31" i="11"/>
  <c r="AK43" i="11"/>
  <c r="AK60" i="11"/>
  <c r="AJ53" i="11"/>
  <c r="AJ58" i="11"/>
  <c r="AJ62" i="11"/>
  <c r="AJ66" i="11"/>
  <c r="AJ52" i="11"/>
  <c r="AJ57" i="11"/>
  <c r="AJ60" i="11"/>
  <c r="AN41" i="11"/>
  <c r="AO34" i="11"/>
  <c r="AM28" i="11"/>
  <c r="AN17" i="11"/>
  <c r="AM18" i="11"/>
  <c r="AQ27" i="11"/>
  <c r="AO24" i="11"/>
  <c r="AP6" i="11"/>
  <c r="AL20" i="11"/>
  <c r="L57" i="38"/>
  <c r="L59" i="38"/>
  <c r="AN8" i="11"/>
  <c r="AM25" i="11"/>
  <c r="AK53" i="11"/>
  <c r="AK58" i="11"/>
  <c r="L60" i="38"/>
  <c r="L61" i="38"/>
  <c r="AK56" i="11"/>
  <c r="AK52" i="11"/>
  <c r="AK57" i="11"/>
  <c r="AN5" i="11"/>
  <c r="AN12" i="11"/>
  <c r="AM23" i="11"/>
  <c r="AM29" i="11"/>
  <c r="AM20" i="11"/>
  <c r="AJ70" i="11"/>
  <c r="AJ69" i="11"/>
  <c r="AJ72" i="11"/>
  <c r="AJ71" i="11"/>
  <c r="AJ67" i="11"/>
  <c r="AJ68" i="11"/>
  <c r="AN25" i="11"/>
  <c r="AO8" i="11"/>
  <c r="AN28" i="11"/>
  <c r="AO17" i="11"/>
  <c r="AN18" i="11"/>
  <c r="L58" i="38"/>
  <c r="AL31" i="11"/>
  <c r="AL43" i="11"/>
  <c r="AO41" i="11"/>
  <c r="AP34" i="11"/>
  <c r="AQ6" i="11"/>
  <c r="AQ24" i="11"/>
  <c r="AP24" i="11"/>
  <c r="AK62" i="11"/>
  <c r="AK66" i="11"/>
  <c r="L47" i="46"/>
  <c r="AM31" i="11"/>
  <c r="AM43" i="11"/>
  <c r="AM56" i="11"/>
  <c r="AN23" i="11"/>
  <c r="AN29" i="11"/>
  <c r="AO5" i="11"/>
  <c r="AO12" i="11"/>
  <c r="AM60" i="11"/>
  <c r="AP41" i="11"/>
  <c r="AQ34" i="11"/>
  <c r="AQ41" i="11"/>
  <c r="AN20" i="11"/>
  <c r="AO28" i="11"/>
  <c r="AP17" i="11"/>
  <c r="AO18" i="11"/>
  <c r="M57" i="38"/>
  <c r="M59" i="38"/>
  <c r="AO25" i="11"/>
  <c r="AP8" i="11"/>
  <c r="AL56" i="11"/>
  <c r="AL53" i="11"/>
  <c r="AL58" i="11"/>
  <c r="AL52" i="11"/>
  <c r="AL57" i="11"/>
  <c r="AL60" i="11"/>
  <c r="AK67" i="11"/>
  <c r="AK72" i="11"/>
  <c r="AK71" i="11"/>
  <c r="AK69" i="11"/>
  <c r="AK68" i="11"/>
  <c r="AK70" i="11"/>
  <c r="AL62" i="11"/>
  <c r="AL66" i="11"/>
  <c r="M60" i="38"/>
  <c r="M61" i="38"/>
  <c r="AM52" i="11"/>
  <c r="AM57" i="11"/>
  <c r="AM53" i="11"/>
  <c r="AM58" i="11"/>
  <c r="AO23" i="11"/>
  <c r="AO29" i="11"/>
  <c r="AP5" i="11"/>
  <c r="AP12" i="11"/>
  <c r="M58" i="38"/>
  <c r="N57" i="38"/>
  <c r="N59" i="38"/>
  <c r="AQ17" i="11"/>
  <c r="AP28" i="11"/>
  <c r="AP18" i="11"/>
  <c r="AO20" i="11"/>
  <c r="AP25" i="11"/>
  <c r="AQ8" i="11"/>
  <c r="AN31" i="11"/>
  <c r="AN43" i="11"/>
  <c r="AM62" i="11"/>
  <c r="AM66" i="11"/>
  <c r="AP20" i="11"/>
  <c r="M47" i="46"/>
  <c r="N60" i="38"/>
  <c r="N61" i="38"/>
  <c r="AP23" i="11"/>
  <c r="AP29" i="11"/>
  <c r="AQ5" i="11"/>
  <c r="AQ23" i="11"/>
  <c r="AO31" i="11"/>
  <c r="AO43" i="11"/>
  <c r="AO56" i="11"/>
  <c r="N58" i="38"/>
  <c r="AP60" i="11"/>
  <c r="AQ25" i="11"/>
  <c r="AL67" i="11"/>
  <c r="AL70" i="11"/>
  <c r="AL68" i="11"/>
  <c r="AL72" i="11"/>
  <c r="AL71" i="11"/>
  <c r="AL69" i="11"/>
  <c r="AN53" i="11"/>
  <c r="AN58" i="11"/>
  <c r="AN62" i="11"/>
  <c r="AN66" i="11"/>
  <c r="AN52" i="11"/>
  <c r="AN57" i="11"/>
  <c r="AN56" i="11"/>
  <c r="AN60" i="11"/>
  <c r="AQ28" i="11"/>
  <c r="AQ18" i="11"/>
  <c r="AM70" i="11"/>
  <c r="AM68" i="11"/>
  <c r="AM69" i="11"/>
  <c r="AM72" i="11"/>
  <c r="AM67" i="11"/>
  <c r="AM71" i="11"/>
  <c r="AP31" i="11"/>
  <c r="AP43" i="11"/>
  <c r="AP56" i="11"/>
  <c r="AQ29" i="11"/>
  <c r="AQ12" i="11"/>
  <c r="AQ20" i="11"/>
  <c r="AO53" i="11"/>
  <c r="AO58" i="11"/>
  <c r="AO62" i="11"/>
  <c r="AO66" i="11"/>
  <c r="AO60" i="11"/>
  <c r="AO52" i="11"/>
  <c r="AO57" i="11"/>
  <c r="O57" i="38"/>
  <c r="O59" i="38"/>
  <c r="AP52" i="11"/>
  <c r="AP57" i="11"/>
  <c r="AP53" i="11"/>
  <c r="AP58" i="11"/>
  <c r="N47" i="46"/>
  <c r="AQ31" i="11"/>
  <c r="AQ43" i="11"/>
  <c r="AQ56" i="11"/>
  <c r="O60" i="38"/>
  <c r="O61" i="38"/>
  <c r="O58" i="38"/>
  <c r="P57" i="38"/>
  <c r="P59" i="38"/>
  <c r="AO70" i="11"/>
  <c r="AO68" i="11"/>
  <c r="AO71" i="11"/>
  <c r="AO69" i="11"/>
  <c r="AO72" i="11"/>
  <c r="AO67" i="11"/>
  <c r="AN69" i="11"/>
  <c r="AN72" i="11"/>
  <c r="AN68" i="11"/>
  <c r="AN71" i="11"/>
  <c r="AN67" i="11"/>
  <c r="AN70" i="11"/>
  <c r="AQ60" i="11"/>
  <c r="AP62" i="11"/>
  <c r="AP66" i="11"/>
  <c r="AQ52" i="11"/>
  <c r="AQ57" i="11"/>
  <c r="AQ53" i="11"/>
  <c r="AQ58" i="11"/>
  <c r="P60" i="38"/>
  <c r="P61" i="38"/>
  <c r="P58" i="38"/>
  <c r="AP71" i="11"/>
  <c r="AP68" i="11"/>
  <c r="AP69" i="11"/>
  <c r="AP72" i="11"/>
  <c r="AP67" i="11"/>
  <c r="AP70" i="11"/>
  <c r="AQ62" i="11"/>
  <c r="AQ66" i="11"/>
  <c r="O47" i="46"/>
  <c r="Q57" i="38"/>
  <c r="Q59" i="38"/>
  <c r="AQ67" i="11"/>
  <c r="AQ72" i="11"/>
  <c r="AQ68" i="11"/>
  <c r="AQ71" i="11"/>
  <c r="AQ70" i="11"/>
  <c r="AQ69" i="11"/>
  <c r="Q60" i="38"/>
  <c r="Q61" i="38"/>
  <c r="Q58" i="38"/>
  <c r="P47" i="46"/>
  <c r="R57" i="38"/>
  <c r="R59" i="38"/>
  <c r="R60" i="38"/>
  <c r="R61" i="38"/>
  <c r="R58" i="38"/>
  <c r="Q47" i="46"/>
  <c r="S57" i="38"/>
  <c r="S59" i="38"/>
  <c r="S60" i="38"/>
  <c r="S61" i="38"/>
  <c r="S58" i="38"/>
  <c r="R47" i="46"/>
  <c r="T57" i="38"/>
  <c r="T59" i="38"/>
  <c r="T60" i="38"/>
  <c r="T61" i="38"/>
  <c r="T58" i="38"/>
  <c r="S47" i="46"/>
  <c r="U57" i="38"/>
  <c r="U59" i="38"/>
  <c r="U60" i="38"/>
  <c r="U61" i="38"/>
  <c r="U58" i="38"/>
  <c r="T47" i="46"/>
  <c r="V57" i="38"/>
  <c r="V59" i="38"/>
  <c r="V60" i="38"/>
  <c r="V61" i="38"/>
  <c r="V58" i="38"/>
  <c r="W57" i="38"/>
  <c r="W59" i="38"/>
  <c r="W60" i="38"/>
  <c r="W61" i="38"/>
  <c r="W58" i="38"/>
  <c r="X57" i="38"/>
  <c r="X59" i="38"/>
  <c r="X60" i="38"/>
  <c r="X61" i="38"/>
  <c r="X58" i="38"/>
  <c r="Y57" i="38"/>
  <c r="Y59" i="38"/>
  <c r="Y60" i="38"/>
  <c r="Y61" i="38"/>
  <c r="Y58" i="38"/>
  <c r="D75" i="11"/>
  <c r="E64" i="11"/>
  <c r="E66" i="11"/>
  <c r="E75" i="11"/>
  <c r="F64" i="11"/>
  <c r="F66" i="11"/>
  <c r="D67" i="11"/>
  <c r="D69" i="11"/>
  <c r="D68" i="11"/>
  <c r="D71" i="11"/>
  <c r="D72" i="11"/>
  <c r="D70" i="11"/>
  <c r="E72" i="11"/>
  <c r="E71" i="11"/>
  <c r="E68" i="11"/>
  <c r="E69" i="11"/>
  <c r="E67" i="11"/>
  <c r="E70" i="11"/>
  <c r="F71" i="11"/>
  <c r="F69" i="11"/>
  <c r="F70" i="11"/>
  <c r="F67" i="11"/>
  <c r="F72" i="11"/>
  <c r="F68" i="11"/>
  <c r="F75" i="11"/>
  <c r="G64" i="11"/>
  <c r="G66" i="11"/>
  <c r="G68" i="11"/>
  <c r="G72" i="11"/>
  <c r="G69" i="11"/>
  <c r="G71" i="11"/>
  <c r="G70" i="11"/>
  <c r="G67" i="11"/>
  <c r="G75" i="11"/>
  <c r="H64" i="11"/>
  <c r="H66" i="11"/>
  <c r="H68" i="11"/>
  <c r="H71" i="11"/>
  <c r="H70" i="11"/>
  <c r="H67" i="11"/>
  <c r="H72" i="11"/>
  <c r="H69" i="11"/>
  <c r="H75" i="11"/>
  <c r="I64" i="11"/>
  <c r="I66" i="11"/>
  <c r="I75" i="11"/>
  <c r="J64" i="11"/>
  <c r="J66" i="11"/>
  <c r="I67" i="11"/>
  <c r="I69" i="11"/>
  <c r="I68" i="11"/>
  <c r="I71" i="11"/>
  <c r="I72" i="11"/>
  <c r="I70" i="11"/>
  <c r="J75" i="11"/>
  <c r="K64" i="11"/>
  <c r="K66" i="11"/>
  <c r="J69" i="11"/>
  <c r="J70" i="11"/>
  <c r="J72" i="11"/>
  <c r="J68" i="11"/>
  <c r="J67" i="11"/>
  <c r="J71" i="11"/>
  <c r="K71" i="11"/>
  <c r="K68" i="11"/>
  <c r="K70" i="11"/>
  <c r="K72" i="11"/>
  <c r="K67" i="11"/>
  <c r="K69" i="11"/>
  <c r="K75" i="11"/>
  <c r="L64" i="11"/>
  <c r="L66" i="11"/>
  <c r="L71" i="11"/>
  <c r="L69" i="11"/>
  <c r="L70" i="11"/>
  <c r="L68" i="11"/>
  <c r="L67" i="11"/>
  <c r="L72" i="11"/>
  <c r="L75" i="11"/>
  <c r="M64" i="11"/>
  <c r="M66" i="11"/>
  <c r="M75" i="11"/>
  <c r="N64" i="11"/>
  <c r="N66" i="11"/>
  <c r="N75" i="11"/>
  <c r="O64" i="11"/>
  <c r="O66" i="11"/>
  <c r="M68" i="11"/>
  <c r="M72" i="11"/>
  <c r="M71" i="11"/>
  <c r="M67" i="11"/>
  <c r="M69" i="11"/>
  <c r="M70" i="11"/>
  <c r="O75" i="11"/>
  <c r="P64" i="11"/>
  <c r="P66" i="11"/>
  <c r="N72" i="11"/>
  <c r="N70" i="11"/>
  <c r="N68" i="11"/>
  <c r="N67" i="11"/>
  <c r="N71" i="11"/>
  <c r="N69" i="11"/>
  <c r="O72" i="11"/>
  <c r="O67" i="11"/>
  <c r="O70" i="11"/>
  <c r="O69" i="11"/>
  <c r="O71" i="11"/>
  <c r="O68" i="11"/>
  <c r="P67" i="11"/>
  <c r="P71" i="11"/>
  <c r="P68" i="11"/>
  <c r="P72" i="11"/>
  <c r="P69" i="11"/>
  <c r="P70" i="11"/>
  <c r="P75" i="11"/>
  <c r="Q64" i="11"/>
  <c r="Q66" i="11"/>
  <c r="Q75" i="11"/>
  <c r="R64" i="11"/>
  <c r="R66" i="11"/>
  <c r="R75" i="11"/>
  <c r="S75" i="11"/>
  <c r="T75" i="11"/>
  <c r="U75" i="11"/>
  <c r="V75" i="11"/>
  <c r="W75" i="11"/>
  <c r="X75" i="11"/>
  <c r="Y75" i="11"/>
  <c r="Z75" i="11"/>
  <c r="AA75" i="11"/>
  <c r="AB75" i="11"/>
  <c r="AC75" i="11"/>
  <c r="AD75" i="11"/>
  <c r="AE75" i="11"/>
  <c r="AF75" i="11"/>
  <c r="AG75" i="11"/>
  <c r="AH75" i="11"/>
  <c r="AI75" i="11"/>
  <c r="AJ75" i="11"/>
  <c r="AK75" i="11"/>
  <c r="AL75" i="11"/>
  <c r="AM75" i="11"/>
  <c r="AN75" i="11"/>
  <c r="AO75" i="11"/>
  <c r="AP75" i="11"/>
  <c r="AQ75" i="11"/>
  <c r="Q72" i="11"/>
  <c r="Q70" i="11"/>
  <c r="Q67" i="11"/>
  <c r="Q71" i="11"/>
  <c r="Q69" i="11"/>
  <c r="Q68" i="11"/>
  <c r="R67" i="11"/>
  <c r="R70" i="11"/>
  <c r="R71" i="11"/>
  <c r="R68" i="11"/>
  <c r="R69" i="11"/>
  <c r="R72" i="11"/>
</calcChain>
</file>

<file path=xl/comments1.xml><?xml version="1.0" encoding="utf-8"?>
<comments xmlns="http://schemas.openxmlformats.org/spreadsheetml/2006/main">
  <authors>
    <author>Russ Schmunk</author>
  </authors>
  <commentList>
    <comment ref="C17" authorId="0" shapeId="0">
      <text>
        <r>
          <rPr>
            <sz val="8"/>
            <color indexed="81"/>
            <rFont val="Tahoma"/>
            <family val="2"/>
          </rPr>
          <t>For instructions, look for comments like this.</t>
        </r>
      </text>
    </comment>
  </commentList>
</comments>
</file>

<file path=xl/comments2.xml><?xml version="1.0" encoding="utf-8"?>
<comments xmlns="http://schemas.openxmlformats.org/spreadsheetml/2006/main">
  <authors>
    <author>debra</author>
    <author>Denise Cabelera</author>
    <author>mpope</author>
    <author>Debra Starbuck</author>
    <author>grodine</author>
    <author>eabdala</author>
    <author>Russ Schmunk</author>
    <author>George Rodine</author>
  </authors>
  <commentList>
    <comment ref="A1" authorId="0" shapeId="0">
      <text>
        <r>
          <rPr>
            <sz val="8"/>
            <color indexed="81"/>
            <rFont val="Tahoma"/>
            <family val="2"/>
          </rPr>
          <t>This application is designed primarily for multifamily transactions with 5 or more units.</t>
        </r>
      </text>
    </comment>
    <comment ref="K11" authorId="1" shapeId="0">
      <text>
        <r>
          <rPr>
            <sz val="8"/>
            <color indexed="81"/>
            <rFont val="Tahoma"/>
            <family val="2"/>
          </rPr>
          <t>Enter the date (in this format 08/01/18) of this application or application update.</t>
        </r>
      </text>
    </comment>
    <comment ref="AN17" authorId="2" shapeId="0">
      <text>
        <r>
          <rPr>
            <sz val="8"/>
            <color indexed="81"/>
            <rFont val="Tahoma"/>
            <family val="2"/>
          </rPr>
          <t>If you are applying for Tax-Exempt financing, indicate whether the T/E funds are to be expended during construction (as opposed to permanent loan closing).</t>
        </r>
      </text>
    </comment>
    <comment ref="W18" authorId="3" shapeId="0">
      <text>
        <r>
          <rPr>
            <sz val="8"/>
            <color indexed="8"/>
            <rFont val="Tahoma"/>
            <family val="2"/>
          </rPr>
          <t>Insert the amount of the CDLAC tax-exempt bond allocation being requested.</t>
        </r>
      </text>
    </comment>
    <comment ref="W20" authorId="3" shapeId="0">
      <text>
        <r>
          <rPr>
            <sz val="8"/>
            <color indexed="8"/>
            <rFont val="Tahoma"/>
            <family val="2"/>
          </rPr>
          <t>Indicate under 
which competitive pool you are applying.</t>
        </r>
      </text>
    </comment>
    <comment ref="AN23" authorId="3" shapeId="0">
      <text>
        <r>
          <rPr>
            <sz val="8"/>
            <color indexed="8"/>
            <rFont val="Tahoma"/>
            <family val="2"/>
          </rPr>
          <t>Years</t>
        </r>
      </text>
    </comment>
    <comment ref="W24" authorId="3" shapeId="0">
      <text>
        <r>
          <rPr>
            <sz val="8"/>
            <color indexed="8"/>
            <rFont val="Tahoma"/>
            <family val="2"/>
          </rPr>
          <t>This taxable tail must be part of/included in, the Permanent Financing if you are seeking points for having a taxable tail.</t>
        </r>
      </text>
    </comment>
    <comment ref="AN24" authorId="3" shapeId="0">
      <text>
        <r>
          <rPr>
            <sz val="8"/>
            <color indexed="8"/>
            <rFont val="Tahoma"/>
            <family val="2"/>
          </rPr>
          <t>Years</t>
        </r>
      </text>
    </comment>
    <comment ref="AN25" authorId="3" shapeId="0">
      <text>
        <r>
          <rPr>
            <sz val="8"/>
            <color indexed="8"/>
            <rFont val="Tahoma"/>
            <family val="2"/>
          </rPr>
          <t>Years</t>
        </r>
      </text>
    </comment>
    <comment ref="AN26" authorId="3" shapeId="0">
      <text>
        <r>
          <rPr>
            <sz val="8"/>
            <color indexed="8"/>
            <rFont val="Tahoma"/>
            <family val="2"/>
          </rPr>
          <t>Years</t>
        </r>
      </text>
    </comment>
    <comment ref="AN27" authorId="3" shapeId="0">
      <text>
        <r>
          <rPr>
            <sz val="8"/>
            <color indexed="8"/>
            <rFont val="Tahoma"/>
            <family val="2"/>
          </rPr>
          <t>Years</t>
        </r>
      </text>
    </comment>
    <comment ref="AN28" authorId="3" shapeId="0">
      <text>
        <r>
          <rPr>
            <sz val="8"/>
            <color indexed="8"/>
            <rFont val="Tahoma"/>
            <family val="2"/>
          </rPr>
          <t>Years</t>
        </r>
      </text>
    </comment>
    <comment ref="AN29" authorId="3" shapeId="0">
      <text>
        <r>
          <rPr>
            <sz val="8"/>
            <color indexed="8"/>
            <rFont val="Tahoma"/>
            <family val="2"/>
          </rPr>
          <t>Years</t>
        </r>
      </text>
    </comment>
    <comment ref="AC30" authorId="3" shapeId="0">
      <text>
        <r>
          <rPr>
            <sz val="8"/>
            <color indexed="8"/>
            <rFont val="Tahoma"/>
            <family val="2"/>
          </rPr>
          <t>Indicate any other type of loan.</t>
        </r>
      </text>
    </comment>
    <comment ref="AN30" authorId="3" shapeId="0">
      <text>
        <r>
          <rPr>
            <sz val="8"/>
            <color indexed="8"/>
            <rFont val="Tahoma"/>
            <family val="2"/>
          </rPr>
          <t>Years</t>
        </r>
      </text>
    </comment>
    <comment ref="AC34" authorId="4" shapeId="0">
      <text>
        <r>
          <rPr>
            <b/>
            <sz val="9"/>
            <color indexed="81"/>
            <rFont val="Tahoma"/>
            <family val="2"/>
          </rPr>
          <t>Special Needs Housing Program (SNHP)</t>
        </r>
        <r>
          <rPr>
            <sz val="9"/>
            <color indexed="81"/>
            <rFont val="Tahoma"/>
            <family val="2"/>
          </rPr>
          <t xml:space="preserve">
</t>
        </r>
      </text>
    </comment>
    <comment ref="AN36" authorId="3" shapeId="0">
      <text>
        <r>
          <rPr>
            <sz val="8"/>
            <color indexed="8"/>
            <rFont val="Tahoma"/>
            <family val="2"/>
          </rPr>
          <t>Years</t>
        </r>
      </text>
    </comment>
    <comment ref="AN37" authorId="3" shapeId="0">
      <text>
        <r>
          <rPr>
            <sz val="8"/>
            <color indexed="8"/>
            <rFont val="Tahoma"/>
            <family val="2"/>
          </rPr>
          <t>Years</t>
        </r>
      </text>
    </comment>
    <comment ref="N44" authorId="5" shapeId="0">
      <text>
        <r>
          <rPr>
            <sz val="8"/>
            <color indexed="81"/>
            <rFont val="Tahoma"/>
            <family val="2"/>
          </rPr>
          <t>If street address not established yet, show cross street or distance from an identified location.  E.g. Hollywood Street near Vine Street, or Hwy 1 two  miles N of Lucia.</t>
        </r>
      </text>
    </comment>
    <comment ref="AE44" authorId="5" shapeId="0">
      <text>
        <r>
          <rPr>
            <sz val="8"/>
            <color indexed="81"/>
            <rFont val="Tahoma"/>
            <family val="2"/>
          </rPr>
          <t>You must have a zip code.</t>
        </r>
      </text>
    </comment>
    <comment ref="Y50" authorId="6" shapeId="0">
      <text>
        <r>
          <rPr>
            <sz val="8"/>
            <color indexed="8"/>
            <rFont val="Tahoma"/>
            <family val="2"/>
          </rPr>
          <t>List APN(s) for all existing parcels.</t>
        </r>
      </text>
    </comment>
    <comment ref="A52" authorId="7" shapeId="0">
      <text>
        <r>
          <rPr>
            <sz val="9"/>
            <color indexed="81"/>
            <rFont val="Tahoma"/>
            <family val="2"/>
          </rPr>
          <t xml:space="preserve">Proposed # of residential units
</t>
        </r>
      </text>
    </comment>
    <comment ref="D52" authorId="7" shapeId="0">
      <text>
        <r>
          <rPr>
            <sz val="9"/>
            <color indexed="81"/>
            <rFont val="Tahoma"/>
            <family val="2"/>
          </rPr>
          <t xml:space="preserve">Proposed # of Low Income Housing Tax Credit Units (60% AMI or less).
</t>
        </r>
      </text>
    </comment>
    <comment ref="G52" authorId="6" shapeId="0">
      <text>
        <r>
          <rPr>
            <sz val="8"/>
            <color indexed="8"/>
            <rFont val="Tahoma"/>
            <family val="2"/>
          </rPr>
          <t>Land area of  developed project, after any planned subdivision.</t>
        </r>
      </text>
    </comment>
    <comment ref="R52" authorId="6" shapeId="0">
      <text>
        <r>
          <rPr>
            <sz val="8"/>
            <color indexed="8"/>
            <rFont val="Tahoma"/>
            <family val="2"/>
          </rPr>
          <t>When development is completed.  If Project will be constructed on non-contiguous parcels, provide site information for additional parcels by opening a new blank Universal Application and completing the Site Information within the Site &amp; Units worksheet for additional non-contiguous parcels.</t>
        </r>
      </text>
    </comment>
    <comment ref="R54" authorId="5" shapeId="0">
      <text>
        <r>
          <rPr>
            <sz val="8"/>
            <color indexed="81"/>
            <rFont val="Tahoma"/>
            <family val="2"/>
          </rPr>
          <t>With certain restrictions expiring within 5 years.</t>
        </r>
      </text>
    </comment>
    <comment ref="Y54" authorId="5" shapeId="0">
      <text>
        <r>
          <rPr>
            <sz val="8"/>
            <color indexed="81"/>
            <rFont val="Tahoma"/>
            <family val="2"/>
          </rPr>
          <t>Date restrictions expire or rental assistance contract terminates.</t>
        </r>
      </text>
    </comment>
    <comment ref="AF54" authorId="5" shapeId="0">
      <text>
        <r>
          <rPr>
            <sz val="8"/>
            <color indexed="81"/>
            <rFont val="Tahoma"/>
            <family val="2"/>
          </rPr>
          <t>Select "Yes" if the development will have a rental subsidy.</t>
        </r>
      </text>
    </comment>
    <comment ref="AK54" authorId="5" shapeId="0">
      <text>
        <r>
          <rPr>
            <sz val="8"/>
            <color indexed="81"/>
            <rFont val="Tahoma"/>
            <family val="2"/>
          </rPr>
          <t>Select "Yes" if the development will have a rental subsidy.</t>
        </r>
      </text>
    </comment>
    <comment ref="A57" authorId="5" shapeId="0">
      <text>
        <r>
          <rPr>
            <sz val="8"/>
            <color indexed="81"/>
            <rFont val="Tahoma"/>
            <family val="2"/>
          </rPr>
          <t xml:space="preserve">If the application is to TCAC, the entity specified as the applicant may be either the current owner, if they will retain ownership, the general partner of the ultimate owner, or the developer.
If the application is to CDLAC, the applicant must be the  bond issuer.
If the application is to HOME, the applicant must be either a state recipient or state-certified CHDO.
</t>
        </r>
        <r>
          <rPr>
            <b/>
            <sz val="8"/>
            <color indexed="81"/>
            <rFont val="Tahoma"/>
            <family val="2"/>
          </rPr>
          <t>MHP does not require designation of an applicant; MHP applicants may complete this section as they desire.</t>
        </r>
      </text>
    </comment>
  </commentList>
</comments>
</file>

<file path=xl/comments3.xml><?xml version="1.0" encoding="utf-8"?>
<comments xmlns="http://schemas.openxmlformats.org/spreadsheetml/2006/main">
  <authors>
    <author>grodine</author>
    <author>eabdala</author>
    <author>rschmunk</author>
    <author>Debra Starbuck</author>
    <author>Russ Schmunk</author>
    <author>Denise Cabelera</author>
  </authors>
  <commentList>
    <comment ref="H4" authorId="0" shapeId="0">
      <text>
        <r>
          <rPr>
            <sz val="8"/>
            <color indexed="81"/>
            <rFont val="Tahoma"/>
            <family val="2"/>
          </rPr>
          <t xml:space="preserve"> If Project will be constructed on non-contiguous parcels, provide site information for additional parcels by opening a new blank Universal Application and completing the Site Information within the Site &amp; Units worksheet for additional non-contiguous parcels.</t>
        </r>
        <r>
          <rPr>
            <sz val="8"/>
            <color indexed="81"/>
            <rFont val="Tahoma"/>
            <family val="2"/>
          </rPr>
          <t xml:space="preserve">
</t>
        </r>
      </text>
    </comment>
    <comment ref="K6" authorId="1" shapeId="0">
      <text>
        <r>
          <rPr>
            <sz val="8"/>
            <color indexed="81"/>
            <rFont val="Tahoma"/>
            <family val="2"/>
          </rPr>
          <t xml:space="preserve">Indicate the date the site was acquired, leased or the date you entered into a purchase option or other agreement for control of the site. </t>
        </r>
      </text>
    </comment>
    <comment ref="O6" authorId="1" shapeId="0">
      <text>
        <r>
          <rPr>
            <sz val="8"/>
            <color indexed="81"/>
            <rFont val="Tahoma"/>
            <family val="2"/>
          </rPr>
          <t>Indicate the date site control lapses, under your current agreement.</t>
        </r>
      </text>
    </comment>
    <comment ref="T6" authorId="1" shapeId="0">
      <text>
        <r>
          <rPr>
            <sz val="8"/>
            <color indexed="81"/>
            <rFont val="Tahoma"/>
            <family val="2"/>
          </rPr>
          <t xml:space="preserve">e.g.  two 30-day extensions; one 60-day extension; etc. </t>
        </r>
      </text>
    </comment>
    <comment ref="AK6" authorId="1" shapeId="0">
      <text>
        <r>
          <rPr>
            <sz val="8"/>
            <color indexed="81"/>
            <rFont val="Tahoma"/>
            <family val="2"/>
          </rPr>
          <t>Include total area being purchased or leased, including any area being split off from 
project site.</t>
        </r>
      </text>
    </comment>
    <comment ref="A13" authorId="1" shapeId="0">
      <text>
        <r>
          <rPr>
            <sz val="8"/>
            <color indexed="81"/>
            <rFont val="Tahoma"/>
            <family val="2"/>
          </rPr>
          <t>E.g. Master developer Deepar Homes has donated the land to XYZ Nonprofit, which will retain ownership and lease the land to the LP owner.</t>
        </r>
      </text>
    </comment>
    <comment ref="A18" authorId="1" shapeId="0">
      <text>
        <r>
          <rPr>
            <sz val="8"/>
            <color indexed="81"/>
            <rFont val="Tahoma"/>
            <family val="2"/>
          </rPr>
          <t>e.g. Vacant City Lot</t>
        </r>
      </text>
    </comment>
    <comment ref="N18" authorId="1" shapeId="0">
      <text>
        <r>
          <rPr>
            <sz val="8"/>
            <color indexed="81"/>
            <rFont val="Tahoma"/>
            <family val="2"/>
          </rPr>
          <t>Once the development is approved.  E.g.. RD4 - Unlimited Residence.</t>
        </r>
      </text>
    </comment>
    <comment ref="A20" authorId="1" shapeId="0">
      <text>
        <r>
          <rPr>
            <sz val="8"/>
            <color indexed="81"/>
            <rFont val="Tahoma"/>
            <family val="2"/>
          </rPr>
          <t>Is demolition of structures planned?</t>
        </r>
      </text>
    </comment>
    <comment ref="G20" authorId="1" shapeId="0">
      <text>
        <r>
          <rPr>
            <sz val="8"/>
            <color indexed="81"/>
            <rFont val="Tahoma"/>
            <family val="2"/>
          </rPr>
          <t>Has demolition of structures been completed since developer became aware of site?</t>
        </r>
      </text>
    </comment>
    <comment ref="J20" authorId="1" shapeId="0">
      <text>
        <r>
          <rPr>
            <sz val="8"/>
            <color indexed="81"/>
            <rFont val="Tahoma"/>
            <family val="2"/>
          </rPr>
          <t xml:space="preserve">Will the developed project be subject to a local rent control ordinance?
</t>
        </r>
      </text>
    </comment>
    <comment ref="O20" authorId="1" shapeId="0">
      <text>
        <r>
          <rPr>
            <sz val="8"/>
            <color indexed="81"/>
            <rFont val="Tahoma"/>
            <family val="2"/>
          </rPr>
          <t xml:space="preserve">Direct access to public road required.  Indicate whether or not the road maintenance is Public or Private. </t>
        </r>
      </text>
    </comment>
    <comment ref="B31" authorId="2" shapeId="0">
      <text>
        <r>
          <rPr>
            <sz val="8"/>
            <color indexed="81"/>
            <rFont val="Tahoma"/>
            <family val="2"/>
          </rPr>
          <t>a.k.a. Special Flood Hazard Zone</t>
        </r>
      </text>
    </comment>
    <comment ref="E37" authorId="3" shapeId="0">
      <text>
        <r>
          <rPr>
            <sz val="8"/>
            <color indexed="8"/>
            <rFont val="Tahoma"/>
            <family val="2"/>
          </rPr>
          <t>Only list the number of beds if rent is charged by the bed rather than by the unit.</t>
        </r>
      </text>
    </comment>
    <comment ref="Z37" authorId="4" shapeId="0">
      <text>
        <r>
          <rPr>
            <sz val="8"/>
            <color indexed="8"/>
            <rFont val="Tahoma"/>
            <family val="2"/>
          </rPr>
          <t>Include manager's units.</t>
        </r>
        <r>
          <rPr>
            <sz val="8"/>
            <color indexed="8"/>
            <rFont val="Tahoma"/>
            <family val="2"/>
          </rPr>
          <t xml:space="preserve">
</t>
        </r>
      </text>
    </comment>
    <comment ref="E38" authorId="3" shapeId="0">
      <text>
        <r>
          <rPr>
            <sz val="8"/>
            <color indexed="8"/>
            <rFont val="Tahoma"/>
            <family val="2"/>
          </rPr>
          <t>Only list the number of beds if rent is charged by the bed rather than by the unit.</t>
        </r>
      </text>
    </comment>
    <comment ref="Z38" authorId="4" shapeId="0">
      <text>
        <r>
          <rPr>
            <sz val="8"/>
            <color indexed="8"/>
            <rFont val="Tahoma"/>
            <family val="2"/>
          </rPr>
          <t>Include manager's units.</t>
        </r>
        <r>
          <rPr>
            <sz val="8"/>
            <color indexed="8"/>
            <rFont val="Tahoma"/>
            <family val="2"/>
          </rPr>
          <t xml:space="preserve">
</t>
        </r>
      </text>
    </comment>
    <comment ref="AG61" authorId="4" shapeId="0">
      <text>
        <r>
          <rPr>
            <sz val="8"/>
            <color indexed="81"/>
            <rFont val="Tahoma"/>
            <family val="2"/>
          </rPr>
          <t>Provide a general description of other on-site services.</t>
        </r>
      </text>
    </comment>
    <comment ref="T62" authorId="5" shapeId="0">
      <text>
        <r>
          <rPr>
            <sz val="8"/>
            <color indexed="81"/>
            <rFont val="Tahoma"/>
            <family val="2"/>
          </rPr>
          <t>Number of Elevators on site.</t>
        </r>
      </text>
    </comment>
    <comment ref="T63" authorId="5" shapeId="0">
      <text>
        <r>
          <rPr>
            <sz val="8"/>
            <color indexed="81"/>
            <rFont val="Tahoma"/>
            <family val="2"/>
          </rPr>
          <t>Enter the number of laundry rooms on site.</t>
        </r>
      </text>
    </comment>
    <comment ref="T64" authorId="3" shapeId="0">
      <text>
        <r>
          <rPr>
            <sz val="8"/>
            <color indexed="8"/>
            <rFont val="Tahoma"/>
            <family val="2"/>
          </rPr>
          <t>Total Number of Washers in the community laundry facilities?</t>
        </r>
      </text>
    </comment>
    <comment ref="T65" authorId="3" shapeId="0">
      <text>
        <r>
          <rPr>
            <sz val="8"/>
            <color indexed="8"/>
            <rFont val="Tahoma"/>
            <family val="2"/>
          </rPr>
          <t>Total Number of dryers in the community laundry buildings?</t>
        </r>
      </text>
    </comment>
    <comment ref="B70" authorId="3" shapeId="0">
      <text>
        <r>
          <rPr>
            <sz val="8"/>
            <color indexed="8"/>
            <rFont val="Tahoma"/>
            <family val="2"/>
          </rPr>
          <t>List additional Unit Amenity</t>
        </r>
      </text>
    </comment>
    <comment ref="B73" authorId="3" shapeId="0">
      <text>
        <r>
          <rPr>
            <sz val="8"/>
            <color indexed="8"/>
            <rFont val="Tahoma"/>
            <family val="2"/>
          </rPr>
          <t xml:space="preserve">Describe which units will be equipped with hookups, and any washers or dryers that will be provided.  </t>
        </r>
      </text>
    </comment>
  </commentList>
</comments>
</file>

<file path=xl/comments4.xml><?xml version="1.0" encoding="utf-8"?>
<comments xmlns="http://schemas.openxmlformats.org/spreadsheetml/2006/main">
  <authors>
    <author>Russ Schmunk</author>
    <author>Denise Cabelera</author>
    <author>Debra Starbuck</author>
    <author>Administrator</author>
    <author>mpope</author>
  </authors>
  <commentList>
    <comment ref="A4" authorId="0" shapeId="0">
      <text>
        <r>
          <rPr>
            <sz val="8"/>
            <color indexed="8"/>
            <rFont val="Tahoma"/>
            <family val="2"/>
          </rPr>
          <t>Gross building floor area.  Measure from exterior face of exterior studs to centerline of interior walls. Exclude porches and similar unheated spaces.</t>
        </r>
      </text>
    </comment>
    <comment ref="I5" authorId="1" shapeId="0">
      <text>
        <r>
          <rPr>
            <sz val="8"/>
            <color indexed="81"/>
            <rFont val="Tahoma"/>
            <family val="2"/>
          </rPr>
          <t>Includes units and purely residential common areas (interior corridors and stairwells, lobbies, janitorial rooms, mechanical and electrical rooms, utility chases, and elevator shafts.)</t>
        </r>
      </text>
    </comment>
    <comment ref="AC5" authorId="0" shapeId="0">
      <text>
        <r>
          <rPr>
            <sz val="8"/>
            <color indexed="8"/>
            <rFont val="Tahoma"/>
            <family val="2"/>
          </rPr>
          <t>Gross building floor area.  Measure from exterior face of exterior studs to centerline of interior walls.  Exclude porches and similar unheated space.</t>
        </r>
      </text>
    </comment>
    <comment ref="I6" authorId="1" shapeId="0">
      <text>
        <r>
          <rPr>
            <sz val="8"/>
            <color indexed="81"/>
            <rFont val="Tahoma"/>
            <family val="2"/>
          </rPr>
          <t>Exclude areas in community room used primarily</t>
        </r>
      </text>
    </comment>
    <comment ref="AK6" authorId="2" shapeId="0">
      <text>
        <r>
          <rPr>
            <sz val="8"/>
            <color indexed="8"/>
            <rFont val="Tahoma"/>
            <family val="2"/>
          </rPr>
          <t>Income producing commercial space.</t>
        </r>
      </text>
    </comment>
    <comment ref="AK7" authorId="0" shapeId="0">
      <text>
        <r>
          <rPr>
            <sz val="8"/>
            <color indexed="8"/>
            <rFont val="Tahoma"/>
            <family val="2"/>
          </rPr>
          <t>E.g. administrative offices of sponsor.</t>
        </r>
        <r>
          <rPr>
            <sz val="8"/>
            <color indexed="8"/>
            <rFont val="Tahoma"/>
            <family val="2"/>
          </rPr>
          <t xml:space="preserve">
</t>
        </r>
      </text>
    </comment>
    <comment ref="I8" authorId="0" shapeId="0">
      <text>
        <r>
          <rPr>
            <sz val="8"/>
            <color indexed="8"/>
            <rFont val="Tahoma"/>
            <family val="2"/>
          </rPr>
          <t>Show as residential only if available to project tenants without  charge, beyond rent.</t>
        </r>
      </text>
    </comment>
    <comment ref="AK8" authorId="2" shapeId="0">
      <text>
        <r>
          <rPr>
            <sz val="8"/>
            <color indexed="8"/>
            <rFont val="Tahoma"/>
            <family val="2"/>
          </rPr>
          <t>Childcare that is not includable in tax credit basis.</t>
        </r>
      </text>
    </comment>
    <comment ref="AK9" authorId="2" shapeId="0">
      <text>
        <r>
          <rPr>
            <sz val="8"/>
            <color indexed="8"/>
            <rFont val="Tahoma"/>
            <family val="2"/>
          </rPr>
          <t>Include any space here that you will be able to rent to tenants for an extra monthly fee.</t>
        </r>
      </text>
    </comment>
    <comment ref="AE10" authorId="0" shapeId="0">
      <text>
        <r>
          <rPr>
            <sz val="8"/>
            <color indexed="8"/>
            <rFont val="Tahoma"/>
            <family val="2"/>
          </rPr>
          <t>Specify.</t>
        </r>
      </text>
    </comment>
    <comment ref="I11" authorId="2" shapeId="0">
      <text>
        <r>
          <rPr>
            <sz val="8"/>
            <color indexed="8"/>
            <rFont val="Tahoma"/>
            <family val="2"/>
          </rPr>
          <t>Show as residential only if includable in basis.</t>
        </r>
      </text>
    </comment>
    <comment ref="I12" authorId="0" shapeId="0">
      <text>
        <r>
          <rPr>
            <sz val="8"/>
            <color indexed="8"/>
            <rFont val="Tahoma"/>
            <family val="2"/>
          </rPr>
          <t>Include here only if space primarily serves project tenants.</t>
        </r>
      </text>
    </comment>
    <comment ref="C14" authorId="0" shapeId="0">
      <text>
        <r>
          <rPr>
            <sz val="8"/>
            <color indexed="8"/>
            <rFont val="Tahoma"/>
            <family val="2"/>
          </rPr>
          <t>Specify</t>
        </r>
      </text>
    </comment>
    <comment ref="I14" authorId="3" shapeId="0">
      <text>
        <r>
          <rPr>
            <sz val="8"/>
            <color indexed="8"/>
            <rFont val="Tahoma"/>
            <family val="2"/>
          </rPr>
          <t>Specify to left.</t>
        </r>
      </text>
    </comment>
    <comment ref="Q26" authorId="0" shapeId="0">
      <text>
        <r>
          <rPr>
            <sz val="8"/>
            <color indexed="8"/>
            <rFont val="Tahoma"/>
            <family val="2"/>
          </rPr>
          <t xml:space="preserve">Tenant Name and/or Use
</t>
        </r>
      </text>
    </comment>
    <comment ref="Y26" authorId="0" shapeId="0">
      <text>
        <r>
          <rPr>
            <sz val="8"/>
            <color indexed="8"/>
            <rFont val="Tahoma"/>
            <family val="2"/>
          </rPr>
          <t>NNN = tenant pays rent + taxes, insurance, utilities, etc.</t>
        </r>
        <r>
          <rPr>
            <sz val="8"/>
            <color indexed="8"/>
            <rFont val="Tahoma"/>
            <family val="2"/>
          </rPr>
          <t xml:space="preserve">
</t>
        </r>
      </text>
    </comment>
    <comment ref="Q27" authorId="0" shapeId="0">
      <text>
        <r>
          <rPr>
            <sz val="8"/>
            <color indexed="8"/>
            <rFont val="Tahoma"/>
            <family val="2"/>
          </rPr>
          <t xml:space="preserve">Tenant Name and/or Use
</t>
        </r>
      </text>
    </comment>
    <comment ref="Y27" authorId="0" shapeId="0">
      <text>
        <r>
          <rPr>
            <sz val="8"/>
            <color indexed="8"/>
            <rFont val="Tahoma"/>
            <family val="2"/>
          </rPr>
          <t>NNN = tenant pays rent + taxes, insurance, utilities, etc.</t>
        </r>
        <r>
          <rPr>
            <sz val="8"/>
            <color indexed="8"/>
            <rFont val="Tahoma"/>
            <family val="2"/>
          </rPr>
          <t xml:space="preserve">
</t>
        </r>
      </text>
    </comment>
    <comment ref="AQ27" authorId="0" shapeId="0">
      <text>
        <r>
          <rPr>
            <sz val="8"/>
            <color indexed="8"/>
            <rFont val="Tahoma"/>
            <family val="2"/>
          </rPr>
          <t>Lessee pays rent + taxes, insurance, utilities, etc.</t>
        </r>
      </text>
    </comment>
    <comment ref="Q28" authorId="0" shapeId="0">
      <text>
        <r>
          <rPr>
            <sz val="8"/>
            <color indexed="8"/>
            <rFont val="Tahoma"/>
            <family val="2"/>
          </rPr>
          <t xml:space="preserve">Tenant Name and/or Use
</t>
        </r>
      </text>
    </comment>
    <comment ref="Y28" authorId="0" shapeId="0">
      <text>
        <r>
          <rPr>
            <sz val="8"/>
            <color indexed="8"/>
            <rFont val="Tahoma"/>
            <family val="2"/>
          </rPr>
          <t>NNN = tenant pays rent + taxes, insurance, utilities, etc.</t>
        </r>
        <r>
          <rPr>
            <sz val="8"/>
            <color indexed="8"/>
            <rFont val="Tahoma"/>
            <family val="2"/>
          </rPr>
          <t xml:space="preserve">
</t>
        </r>
      </text>
    </comment>
    <comment ref="Q29" authorId="0" shapeId="0">
      <text>
        <r>
          <rPr>
            <sz val="8"/>
            <color indexed="8"/>
            <rFont val="Tahoma"/>
            <family val="2"/>
          </rPr>
          <t xml:space="preserve">Tenant Name and/or Use
</t>
        </r>
      </text>
    </comment>
    <comment ref="Y29" authorId="0" shapeId="0">
      <text>
        <r>
          <rPr>
            <sz val="8"/>
            <color indexed="8"/>
            <rFont val="Tahoma"/>
            <family val="2"/>
          </rPr>
          <t>NNN = tenant pays rent + taxes, insurance, utilities, etc.</t>
        </r>
        <r>
          <rPr>
            <sz val="8"/>
            <color indexed="8"/>
            <rFont val="Tahoma"/>
            <family val="2"/>
          </rPr>
          <t xml:space="preserve">
</t>
        </r>
      </text>
    </comment>
    <comment ref="Q31" authorId="0" shapeId="0">
      <text>
        <r>
          <rPr>
            <sz val="8"/>
            <color indexed="8"/>
            <rFont val="Tahoma"/>
            <family val="2"/>
          </rPr>
          <t xml:space="preserve">Tenant Name and/or Use
</t>
        </r>
      </text>
    </comment>
    <comment ref="Y31" authorId="0" shapeId="0">
      <text>
        <r>
          <rPr>
            <sz val="8"/>
            <color indexed="8"/>
            <rFont val="Tahoma"/>
            <family val="2"/>
          </rPr>
          <t>NNN = tenant pays rent + taxes, insurance, utilities, etc.</t>
        </r>
        <r>
          <rPr>
            <sz val="8"/>
            <color indexed="8"/>
            <rFont val="Tahoma"/>
            <family val="2"/>
          </rPr>
          <t xml:space="preserve">
</t>
        </r>
      </text>
    </comment>
    <comment ref="Q32" authorId="0" shapeId="0">
      <text>
        <r>
          <rPr>
            <sz val="8"/>
            <color indexed="8"/>
            <rFont val="Tahoma"/>
            <family val="2"/>
          </rPr>
          <t xml:space="preserve">Tenant Name and/or Use
</t>
        </r>
      </text>
    </comment>
    <comment ref="Y32" authorId="0" shapeId="0">
      <text>
        <r>
          <rPr>
            <sz val="8"/>
            <color indexed="8"/>
            <rFont val="Tahoma"/>
            <family val="2"/>
          </rPr>
          <t>NNN = tenant pays rent + taxes, insurance, utilities, etc.</t>
        </r>
        <r>
          <rPr>
            <sz val="8"/>
            <color indexed="8"/>
            <rFont val="Tahoma"/>
            <family val="2"/>
          </rPr>
          <t xml:space="preserve">
</t>
        </r>
      </text>
    </comment>
    <comment ref="Q33" authorId="0" shapeId="0">
      <text>
        <r>
          <rPr>
            <sz val="8"/>
            <color indexed="8"/>
            <rFont val="Tahoma"/>
            <family val="2"/>
          </rPr>
          <t xml:space="preserve">Tenant Name and/or Use
</t>
        </r>
      </text>
    </comment>
    <comment ref="Y33" authorId="0" shapeId="0">
      <text>
        <r>
          <rPr>
            <sz val="8"/>
            <color indexed="8"/>
            <rFont val="Tahoma"/>
            <family val="2"/>
          </rPr>
          <t>NNN = tenant pays rent + taxes, insurance, utilities, etc.</t>
        </r>
        <r>
          <rPr>
            <sz val="8"/>
            <color indexed="8"/>
            <rFont val="Tahoma"/>
            <family val="2"/>
          </rPr>
          <t xml:space="preserve">
</t>
        </r>
      </text>
    </comment>
    <comment ref="Q34" authorId="0" shapeId="0">
      <text>
        <r>
          <rPr>
            <sz val="8"/>
            <color indexed="8"/>
            <rFont val="Tahoma"/>
            <family val="2"/>
          </rPr>
          <t xml:space="preserve">Tenant Name and/or Use
</t>
        </r>
      </text>
    </comment>
    <comment ref="Y34" authorId="0" shapeId="0">
      <text>
        <r>
          <rPr>
            <sz val="8"/>
            <color indexed="8"/>
            <rFont val="Tahoma"/>
            <family val="2"/>
          </rPr>
          <t>NNN = tenant pays rent + taxes, insurance, utilities, etc.</t>
        </r>
        <r>
          <rPr>
            <sz val="8"/>
            <color indexed="8"/>
            <rFont val="Tahoma"/>
            <family val="2"/>
          </rPr>
          <t xml:space="preserve">
</t>
        </r>
      </text>
    </comment>
    <comment ref="C48" authorId="4" shapeId="0">
      <text>
        <r>
          <rPr>
            <sz val="8"/>
            <color indexed="81"/>
            <rFont val="Tahoma"/>
            <family val="2"/>
          </rPr>
          <t>Specify</t>
        </r>
      </text>
    </comment>
    <comment ref="J51" authorId="2" shapeId="0">
      <text>
        <r>
          <rPr>
            <sz val="8"/>
            <color indexed="8"/>
            <rFont val="Tahoma"/>
            <family val="2"/>
          </rPr>
          <t>Indicate the name of the Agency that provided the Utility Allowance Schedule.</t>
        </r>
      </text>
    </comment>
    <comment ref="Z53" authorId="3" shapeId="0">
      <text>
        <r>
          <rPr>
            <sz val="8"/>
            <color indexed="8"/>
            <rFont val="Tahoma"/>
            <family val="2"/>
          </rPr>
          <t>Specify</t>
        </r>
      </text>
    </comment>
  </commentList>
</comments>
</file>

<file path=xl/comments5.xml><?xml version="1.0" encoding="utf-8"?>
<comments xmlns="http://schemas.openxmlformats.org/spreadsheetml/2006/main">
  <authors>
    <author>Russ Schmunk</author>
    <author>Debra Starbuck</author>
    <author>Information Technology</author>
    <author>grodine</author>
  </authors>
  <commentList>
    <comment ref="C4" authorId="0" shapeId="0">
      <text>
        <r>
          <rPr>
            <sz val="8"/>
            <color indexed="81"/>
            <rFont val="Tahoma"/>
            <family val="2"/>
          </rPr>
          <t>Available on TCAC's web site : http://www.treasurer.ca.gov/ctcac/</t>
        </r>
        <r>
          <rPr>
            <sz val="8"/>
            <color indexed="81"/>
            <rFont val="Tahoma"/>
            <family val="2"/>
          </rPr>
          <t xml:space="preserve">
</t>
        </r>
      </text>
    </comment>
    <comment ref="A14" authorId="0" shapeId="0">
      <text>
        <r>
          <rPr>
            <sz val="8"/>
            <color indexed="81"/>
            <rFont val="Tahoma"/>
            <family val="2"/>
          </rPr>
          <t xml:space="preserve">Regulatory limit on tenant income.  Rents are based on this income limit.
</t>
        </r>
      </text>
    </comment>
    <comment ref="H14" authorId="1" shapeId="0">
      <text>
        <r>
          <rPr>
            <sz val="9"/>
            <color indexed="8"/>
            <rFont val="Tahoma"/>
            <family val="2"/>
          </rPr>
          <t>HCD and CDLAC cash flow analysis will be based on restricted rents, not proposed lower levels.</t>
        </r>
      </text>
    </comment>
    <comment ref="B18"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26"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34"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42"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50"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A58" authorId="0" shapeId="0">
      <text>
        <r>
          <rPr>
            <sz val="8"/>
            <color indexed="81"/>
            <rFont val="Tahoma"/>
            <family val="2"/>
          </rPr>
          <t xml:space="preserve">Regulatory limit on tenant income.  Rents are based on this income limit.
</t>
        </r>
      </text>
    </comment>
    <comment ref="H58" authorId="1" shapeId="0">
      <text>
        <r>
          <rPr>
            <sz val="9"/>
            <color indexed="8"/>
            <rFont val="Tahoma"/>
            <family val="2"/>
          </rPr>
          <t>HCD and CDLAC cash flow analysis will be based on restricted rents, not proposed lower levels.</t>
        </r>
      </text>
    </comment>
    <comment ref="B62"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70"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78"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86"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94"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B102" authorId="2" shapeId="0">
      <text>
        <r>
          <rPr>
            <sz val="8"/>
            <color indexed="8"/>
            <rFont val="Tahoma"/>
            <family val="2"/>
          </rPr>
          <t>TCAC -- also  CDLAC and MHP -- restrictions assume 1.5 persons per bedroom.  
CalHFA -- applies only to units restricted by CalHFA to 50% of AMI.  restrictions assume 2 persons in a 1 bedroom unit and 1 additional person per additional bedroom.
Other -- select only if you have entered rent limits in the entry area below (Rural Development, etc.).</t>
        </r>
      </text>
    </comment>
    <comment ref="H135" authorId="3" shapeId="0">
      <text>
        <r>
          <rPr>
            <sz val="8"/>
            <color indexed="81"/>
            <rFont val="Tahoma"/>
            <family val="2"/>
          </rPr>
          <t>Identify the origin of the restriction and the basis for calculating it.  E.g.. Rural Development, budget-bsed rents.</t>
        </r>
      </text>
    </comment>
  </commentList>
</comments>
</file>

<file path=xl/comments6.xml><?xml version="1.0" encoding="utf-8"?>
<comments xmlns="http://schemas.openxmlformats.org/spreadsheetml/2006/main">
  <authors>
    <author>Russ Schmunk</author>
  </authors>
  <commentList>
    <comment ref="A4" authorId="0" shapeId="0">
      <text>
        <r>
          <rPr>
            <sz val="8"/>
            <color indexed="81"/>
            <rFont val="Tahoma"/>
            <family val="2"/>
          </rPr>
          <t xml:space="preserve">Regulatory limit on tenant income.  Rents are based on this income limit.
</t>
        </r>
      </text>
    </comment>
  </commentList>
</comments>
</file>

<file path=xl/comments7.xml><?xml version="1.0" encoding="utf-8"?>
<comments xmlns="http://schemas.openxmlformats.org/spreadsheetml/2006/main">
  <authors>
    <author>Russ Schmunk</author>
  </authors>
  <commentList>
    <comment ref="A4" authorId="0" shapeId="0">
      <text>
        <r>
          <rPr>
            <sz val="8"/>
            <color indexed="81"/>
            <rFont val="Tahoma"/>
            <family val="2"/>
          </rPr>
          <t xml:space="preserve">Regulatory limit on tenant income.  Rents are based on this income limit.
</t>
        </r>
      </text>
    </comment>
  </commentList>
</comments>
</file>

<file path=xl/comments8.xml><?xml version="1.0" encoding="utf-8"?>
<comments xmlns="http://schemas.openxmlformats.org/spreadsheetml/2006/main">
  <authors>
    <author>Russ Schmunk</author>
    <author>grodine</author>
    <author>rschmunk</author>
  </authors>
  <commentList>
    <comment ref="D11" authorId="0" shapeId="0">
      <text>
        <r>
          <rPr>
            <sz val="8"/>
            <color indexed="81"/>
            <rFont val="Tahoma"/>
            <family val="2"/>
          </rPr>
          <t>This calculates the extra income from a rent subsidy, assuming that that tenant contributions are at the maximum restricted rent level.  It underestimates the actual subsidy payment.</t>
        </r>
      </text>
    </comment>
    <comment ref="I11" authorId="0" shapeId="0">
      <text>
        <r>
          <rPr>
            <sz val="8"/>
            <color indexed="81"/>
            <rFont val="Tahoma"/>
            <family val="2"/>
          </rPr>
          <t>This calculates the extra income from a rent subsidy, assuming that that tenant contributions are at the maximum restricted rent level.  It underestimates the actual subsidy payment.</t>
        </r>
      </text>
    </comment>
    <comment ref="E14" authorId="0" shapeId="0">
      <text>
        <r>
          <rPr>
            <sz val="8"/>
            <color indexed="81"/>
            <rFont val="Tahoma"/>
            <family val="2"/>
          </rPr>
          <t>Assumes tenant contribution is at maximum restricted level.
Actual may be higher.</t>
        </r>
      </text>
    </comment>
    <comment ref="G14" authorId="0" shapeId="0">
      <text>
        <r>
          <rPr>
            <sz val="8"/>
            <color indexed="81"/>
            <rFont val="Tahoma"/>
            <family val="2"/>
          </rPr>
          <t>Cash flow available to service debt supported by rent subsidy.</t>
        </r>
      </text>
    </comment>
    <comment ref="J14" authorId="0" shapeId="0">
      <text>
        <r>
          <rPr>
            <sz val="8"/>
            <color indexed="81"/>
            <rFont val="Tahoma"/>
            <family val="2"/>
          </rPr>
          <t>Assumes tenant contribution is at maximum restricted level.
Actual may be higher.</t>
        </r>
      </text>
    </comment>
    <comment ref="L14" authorId="0" shapeId="0">
      <text>
        <r>
          <rPr>
            <sz val="8"/>
            <color indexed="81"/>
            <rFont val="Tahoma"/>
            <family val="2"/>
          </rPr>
          <t>Cash flow available to service debt supported by rent subsidy.</t>
        </r>
        <r>
          <rPr>
            <sz val="8"/>
            <color indexed="81"/>
            <rFont val="Tahoma"/>
            <family val="2"/>
          </rPr>
          <t xml:space="preserve">
</t>
        </r>
      </text>
    </comment>
    <comment ref="D18" authorId="1" shapeId="0">
      <text>
        <r>
          <rPr>
            <b/>
            <sz val="8"/>
            <color indexed="81"/>
            <rFont val="Tahoma"/>
            <family val="2"/>
          </rPr>
          <t>grodine:</t>
        </r>
        <r>
          <rPr>
            <sz val="8"/>
            <color indexed="81"/>
            <rFont val="Tahoma"/>
            <family val="2"/>
          </rPr>
          <t xml:space="preserve">
matches up with rents row 18, which is for Restricted Manager's Units.</t>
        </r>
      </text>
    </comment>
    <comment ref="E18" authorId="1" shapeId="0">
      <text>
        <r>
          <rPr>
            <b/>
            <sz val="8"/>
            <color indexed="81"/>
            <rFont val="Tahoma"/>
            <family val="2"/>
          </rPr>
          <t>grodine:</t>
        </r>
        <r>
          <rPr>
            <sz val="8"/>
            <color indexed="81"/>
            <rFont val="Tahoma"/>
            <family val="2"/>
          </rPr>
          <t xml:space="preserve">
Subtracts rents ( '</t>
        </r>
        <r>
          <rPr>
            <i/>
            <sz val="8"/>
            <color indexed="81"/>
            <rFont val="Tahoma"/>
            <family val="2"/>
          </rPr>
          <t>Rents' worksheet</t>
        </r>
        <r>
          <rPr>
            <sz val="8"/>
            <color indexed="81"/>
            <rFont val="Tahoma"/>
            <family val="2"/>
          </rPr>
          <t xml:space="preserve"> row 18) from Gross Contract Rents.</t>
        </r>
      </text>
    </comment>
    <comment ref="E19" authorId="1" shapeId="0">
      <text>
        <r>
          <rPr>
            <b/>
            <sz val="8"/>
            <color indexed="81"/>
            <rFont val="Tahoma"/>
            <family val="2"/>
          </rPr>
          <t>grodine:</t>
        </r>
        <r>
          <rPr>
            <sz val="8"/>
            <color indexed="81"/>
            <rFont val="Tahoma"/>
            <family val="2"/>
          </rPr>
          <t xml:space="preserve">
Subtracts rents ( '</t>
        </r>
        <r>
          <rPr>
            <i/>
            <sz val="8"/>
            <color indexed="81"/>
            <rFont val="Tahoma"/>
            <family val="2"/>
          </rPr>
          <t>Rents' worksheet</t>
        </r>
        <r>
          <rPr>
            <sz val="8"/>
            <color indexed="81"/>
            <rFont val="Tahoma"/>
            <family val="2"/>
          </rPr>
          <t xml:space="preserve"> row 19) from Gross Contract Rents.</t>
        </r>
      </text>
    </comment>
    <comment ref="E20" authorId="1" shapeId="0">
      <text>
        <r>
          <rPr>
            <b/>
            <sz val="8"/>
            <color indexed="81"/>
            <rFont val="Tahoma"/>
            <family val="2"/>
          </rPr>
          <t>grodine:</t>
        </r>
        <r>
          <rPr>
            <sz val="8"/>
            <color indexed="81"/>
            <rFont val="Tahoma"/>
            <family val="2"/>
          </rPr>
          <t xml:space="preserve">
Subtracts rents ( '</t>
        </r>
        <r>
          <rPr>
            <i/>
            <sz val="8"/>
            <color indexed="81"/>
            <rFont val="Tahoma"/>
            <family val="2"/>
          </rPr>
          <t>Rents' worksheet</t>
        </r>
        <r>
          <rPr>
            <sz val="8"/>
            <color indexed="81"/>
            <rFont val="Tahoma"/>
            <family val="2"/>
          </rPr>
          <t xml:space="preserve"> row 20) from Gross Contract Rents.</t>
        </r>
      </text>
    </comment>
    <comment ref="E21" authorId="1" shapeId="0">
      <text>
        <r>
          <rPr>
            <b/>
            <sz val="8"/>
            <color indexed="81"/>
            <rFont val="Tahoma"/>
            <family val="2"/>
          </rPr>
          <t>grodine:</t>
        </r>
        <r>
          <rPr>
            <sz val="8"/>
            <color indexed="81"/>
            <rFont val="Tahoma"/>
            <family val="2"/>
          </rPr>
          <t xml:space="preserve">
Subtracts rents ( '</t>
        </r>
        <r>
          <rPr>
            <i/>
            <sz val="8"/>
            <color indexed="81"/>
            <rFont val="Tahoma"/>
            <family val="2"/>
          </rPr>
          <t>Rents' worksheet</t>
        </r>
        <r>
          <rPr>
            <sz val="8"/>
            <color indexed="81"/>
            <rFont val="Tahoma"/>
            <family val="2"/>
          </rPr>
          <t xml:space="preserve"> row 21) from Gross Contract Rents.</t>
        </r>
      </text>
    </comment>
    <comment ref="E22" authorId="1" shapeId="0">
      <text>
        <r>
          <rPr>
            <b/>
            <sz val="8"/>
            <color indexed="81"/>
            <rFont val="Tahoma"/>
            <family val="2"/>
          </rPr>
          <t>grodine:</t>
        </r>
        <r>
          <rPr>
            <sz val="8"/>
            <color indexed="81"/>
            <rFont val="Tahoma"/>
            <family val="2"/>
          </rPr>
          <t xml:space="preserve">
Subtracts rents ( '</t>
        </r>
        <r>
          <rPr>
            <i/>
            <sz val="8"/>
            <color indexed="81"/>
            <rFont val="Tahoma"/>
            <family val="2"/>
          </rPr>
          <t>Rents' worksheet</t>
        </r>
        <r>
          <rPr>
            <sz val="8"/>
            <color indexed="81"/>
            <rFont val="Tahoma"/>
            <family val="2"/>
          </rPr>
          <t xml:space="preserve"> row 22) from Gross Contract Rents.</t>
        </r>
      </text>
    </comment>
    <comment ref="E23" authorId="1" shapeId="0">
      <text>
        <r>
          <rPr>
            <b/>
            <sz val="8"/>
            <color indexed="81"/>
            <rFont val="Tahoma"/>
            <family val="2"/>
          </rPr>
          <t>grodine:</t>
        </r>
        <r>
          <rPr>
            <sz val="8"/>
            <color indexed="81"/>
            <rFont val="Tahoma"/>
            <family val="2"/>
          </rPr>
          <t xml:space="preserve">
Subtracts rents ( '</t>
        </r>
        <r>
          <rPr>
            <i/>
            <sz val="8"/>
            <color indexed="81"/>
            <rFont val="Tahoma"/>
            <family val="2"/>
          </rPr>
          <t>Rents' worksheet</t>
        </r>
        <r>
          <rPr>
            <sz val="8"/>
            <color indexed="81"/>
            <rFont val="Tahoma"/>
            <family val="2"/>
          </rPr>
          <t xml:space="preserve"> row 23) from Gross Contract Rents.</t>
        </r>
      </text>
    </comment>
    <comment ref="E24" authorId="1" shapeId="0">
      <text>
        <r>
          <rPr>
            <b/>
            <sz val="8"/>
            <color indexed="81"/>
            <rFont val="Tahoma"/>
            <family val="2"/>
          </rPr>
          <t>grodine:</t>
        </r>
        <r>
          <rPr>
            <sz val="8"/>
            <color indexed="81"/>
            <rFont val="Tahoma"/>
            <family val="2"/>
          </rPr>
          <t xml:space="preserve">
Subtracts rents ( '</t>
        </r>
        <r>
          <rPr>
            <i/>
            <sz val="8"/>
            <color indexed="81"/>
            <rFont val="Tahoma"/>
            <family val="2"/>
          </rPr>
          <t>Rents' worksheet</t>
        </r>
        <r>
          <rPr>
            <sz val="8"/>
            <color indexed="81"/>
            <rFont val="Tahoma"/>
            <family val="2"/>
          </rPr>
          <t xml:space="preserve"> row 24) from Gross Contract Rents.</t>
        </r>
      </text>
    </comment>
    <comment ref="D57" authorId="0" shapeId="0">
      <text>
        <r>
          <rPr>
            <sz val="8"/>
            <color indexed="81"/>
            <rFont val="Tahoma"/>
            <family val="2"/>
          </rPr>
          <t>This calculates the extra income from a rent subsidy, assuming that that tenant contributions are at the maximum restricted rent level.  It underestimates the actual subsidy payment.</t>
        </r>
      </text>
    </comment>
    <comment ref="I57" authorId="0" shapeId="0">
      <text>
        <r>
          <rPr>
            <sz val="8"/>
            <color indexed="81"/>
            <rFont val="Tahoma"/>
            <family val="2"/>
          </rPr>
          <t>This calculates the extra income from a rent subsidy, assuming that that tenant contributions are at the maximum restricted rent level.  It underestimates the actual subsidy payment.</t>
        </r>
      </text>
    </comment>
    <comment ref="E60" authorId="0" shapeId="0">
      <text>
        <r>
          <rPr>
            <sz val="8"/>
            <color indexed="81"/>
            <rFont val="Tahoma"/>
            <family val="2"/>
          </rPr>
          <t>Assumes tenant contribution is at maximum restricted level.
Actual may be higher.</t>
        </r>
      </text>
    </comment>
    <comment ref="G60" authorId="0" shapeId="0">
      <text>
        <r>
          <rPr>
            <sz val="8"/>
            <color indexed="81"/>
            <rFont val="Tahoma"/>
            <family val="2"/>
          </rPr>
          <t>Cash flow available to service debt supported by rent subsidy.</t>
        </r>
      </text>
    </comment>
    <comment ref="J60" authorId="0" shapeId="0">
      <text>
        <r>
          <rPr>
            <sz val="8"/>
            <color indexed="81"/>
            <rFont val="Tahoma"/>
            <family val="2"/>
          </rPr>
          <t>Assumes tenant contribution is at maximum restricted level.
Actual may be higher.</t>
        </r>
      </text>
    </comment>
    <comment ref="L60" authorId="0" shapeId="0">
      <text>
        <r>
          <rPr>
            <sz val="8"/>
            <color indexed="81"/>
            <rFont val="Tahoma"/>
            <family val="2"/>
          </rPr>
          <t>Cash flow available to service debt supported by rent subsidy.</t>
        </r>
      </text>
    </comment>
    <comment ref="E115" authorId="0" shapeId="0">
      <text>
        <r>
          <rPr>
            <sz val="8"/>
            <color indexed="81"/>
            <rFont val="Tahoma"/>
            <family val="2"/>
          </rPr>
          <t>E.g. Shelter Plus Care, Section 8</t>
        </r>
      </text>
    </comment>
    <comment ref="G115" authorId="0" shapeId="0">
      <text>
        <r>
          <rPr>
            <sz val="8"/>
            <color indexed="81"/>
            <rFont val="Tahoma"/>
            <family val="2"/>
          </rPr>
          <t>E.g. Shelter Plus Care, Section 8</t>
        </r>
      </text>
    </comment>
    <comment ref="I115" authorId="0" shapeId="0">
      <text>
        <r>
          <rPr>
            <sz val="8"/>
            <color indexed="81"/>
            <rFont val="Tahoma"/>
            <family val="2"/>
          </rPr>
          <t>E.g. Shelter Plus Care, Section 8</t>
        </r>
      </text>
    </comment>
    <comment ref="K115" authorId="0" shapeId="0">
      <text>
        <r>
          <rPr>
            <sz val="8"/>
            <color indexed="81"/>
            <rFont val="Tahoma"/>
            <family val="2"/>
          </rPr>
          <t>E.g. Shelter Plus Care, Section 8</t>
        </r>
      </text>
    </comment>
    <comment ref="E116" authorId="2" shapeId="0">
      <text>
        <r>
          <rPr>
            <sz val="8"/>
            <color indexed="81"/>
            <rFont val="Tahoma"/>
            <family val="2"/>
          </rPr>
          <t>e.g. Project Based Vouchers, Sponsor Based Rental Assistance</t>
        </r>
      </text>
    </comment>
    <comment ref="G116" authorId="2" shapeId="0">
      <text>
        <r>
          <rPr>
            <sz val="8"/>
            <color indexed="81"/>
            <rFont val="Tahoma"/>
            <family val="2"/>
          </rPr>
          <t>e.g. Project Based Vouchers, Sponsor Based Rental Assistance</t>
        </r>
        <r>
          <rPr>
            <sz val="8"/>
            <color indexed="81"/>
            <rFont val="Tahoma"/>
            <family val="2"/>
          </rPr>
          <t xml:space="preserve">
</t>
        </r>
      </text>
    </comment>
    <comment ref="I116" authorId="2" shapeId="0">
      <text>
        <r>
          <rPr>
            <sz val="8"/>
            <color indexed="81"/>
            <rFont val="Tahoma"/>
            <family val="2"/>
          </rPr>
          <t>e.g. Project Based Vouchers, Sponsor Based Rental Assistance</t>
        </r>
      </text>
    </comment>
    <comment ref="K116" authorId="2" shapeId="0">
      <text>
        <r>
          <rPr>
            <sz val="8"/>
            <color indexed="81"/>
            <rFont val="Tahoma"/>
            <family val="2"/>
          </rPr>
          <t>e.g. Project Based Vouchers, Sponsor Based Rental Assistance</t>
        </r>
      </text>
    </comment>
    <comment ref="E121" authorId="2" shapeId="0">
      <text>
        <r>
          <rPr>
            <sz val="8"/>
            <color indexed="81"/>
            <rFont val="Tahoma"/>
            <family val="2"/>
          </rPr>
          <t>If existing contract, remaining term.  If new contract, initial term.</t>
        </r>
        <r>
          <rPr>
            <sz val="8"/>
            <color indexed="81"/>
            <rFont val="Tahoma"/>
            <family val="2"/>
          </rPr>
          <t xml:space="preserve">
</t>
        </r>
      </text>
    </comment>
    <comment ref="G121" authorId="2" shapeId="0">
      <text>
        <r>
          <rPr>
            <sz val="8"/>
            <color indexed="81"/>
            <rFont val="Tahoma"/>
            <family val="2"/>
          </rPr>
          <t>If existing contract, remaining term.  If new contract, initial term.</t>
        </r>
      </text>
    </comment>
    <comment ref="I121" authorId="2" shapeId="0">
      <text>
        <r>
          <rPr>
            <sz val="8"/>
            <color indexed="81"/>
            <rFont val="Tahoma"/>
            <family val="2"/>
          </rPr>
          <t>If existing contract, remaining term.  If new contract, initial term.</t>
        </r>
        <r>
          <rPr>
            <sz val="8"/>
            <color indexed="81"/>
            <rFont val="Tahoma"/>
            <family val="2"/>
          </rPr>
          <t xml:space="preserve">
</t>
        </r>
      </text>
    </comment>
    <comment ref="K121" authorId="2" shapeId="0">
      <text>
        <r>
          <rPr>
            <sz val="8"/>
            <color indexed="81"/>
            <rFont val="Tahoma"/>
            <family val="2"/>
          </rPr>
          <t>If existing contract, remaining term.  If new contract, initial term.</t>
        </r>
        <r>
          <rPr>
            <sz val="8"/>
            <color indexed="81"/>
            <rFont val="Tahoma"/>
            <family val="2"/>
          </rPr>
          <t xml:space="preserve">
</t>
        </r>
      </text>
    </comment>
  </commentList>
</comments>
</file>

<file path=xl/comments9.xml><?xml version="1.0" encoding="utf-8"?>
<comments xmlns="http://schemas.openxmlformats.org/spreadsheetml/2006/main">
  <authors>
    <author>Debra Starbuck</author>
    <author>Russ Schmunk</author>
    <author>grodine</author>
    <author>rschmunk</author>
    <author>George Rodine</author>
  </authors>
  <commentList>
    <comment ref="B4" authorId="0" shapeId="0">
      <text>
        <r>
          <rPr>
            <sz val="8"/>
            <color indexed="8"/>
            <rFont val="Tahoma"/>
            <family val="2"/>
          </rPr>
          <t>1) Include deferred developer fee as a source.
2) Include any locality fee waivers as a source and show that there are no repayment requirements by entering "None" in the "Required Payment" column.</t>
        </r>
      </text>
    </comment>
    <comment ref="D4" authorId="1" shapeId="0">
      <text>
        <r>
          <rPr>
            <sz val="8"/>
            <color indexed="8"/>
            <rFont val="Tahoma"/>
            <family val="2"/>
          </rPr>
          <t xml:space="preserve">If no lien, put "NA".
</t>
        </r>
      </text>
    </comment>
    <comment ref="H4" authorId="1" shapeId="0">
      <text>
        <r>
          <rPr>
            <sz val="8"/>
            <color indexed="8"/>
            <rFont val="Tahoma"/>
            <family val="2"/>
          </rPr>
          <t>"0" if not amortized, like most public agency loans.</t>
        </r>
      </text>
    </comment>
    <comment ref="K4" authorId="2" shapeId="0">
      <text>
        <r>
          <rPr>
            <sz val="8"/>
            <color indexed="81"/>
            <rFont val="Tahoma"/>
            <family val="2"/>
          </rPr>
          <t>Do not include residual receipts payments.  Show only "must pay" residential 
debt service.</t>
        </r>
      </text>
    </comment>
    <comment ref="L4" authorId="2" shapeId="0">
      <text>
        <r>
          <rPr>
            <sz val="8"/>
            <color indexed="81"/>
            <rFont val="Tahoma"/>
            <family val="2"/>
          </rPr>
          <t>Do not include residual receipts payments.  Show only "must pay" commercial debt service.</t>
        </r>
      </text>
    </comment>
    <comment ref="M4" authorId="3" shapeId="0">
      <text>
        <r>
          <rPr>
            <sz val="8"/>
            <color indexed="81"/>
            <rFont val="Tahoma"/>
            <family val="2"/>
          </rPr>
          <t>Amount of tax-exempt bond proceeds.</t>
        </r>
      </text>
    </comment>
    <comment ref="N4" authorId="3" shapeId="0">
      <text>
        <r>
          <rPr>
            <sz val="8"/>
            <color indexed="81"/>
            <rFont val="Tahoma"/>
            <family val="2"/>
          </rPr>
          <t>Amount allocated to residential space.</t>
        </r>
      </text>
    </comment>
    <comment ref="O4" authorId="3" shapeId="0">
      <text>
        <r>
          <rPr>
            <sz val="8"/>
            <color indexed="81"/>
            <rFont val="Tahoma"/>
            <family val="2"/>
          </rPr>
          <t>Amount allocated to commercial space.</t>
        </r>
      </text>
    </comment>
    <comment ref="G5" authorId="0" shapeId="0">
      <text>
        <r>
          <rPr>
            <sz val="8"/>
            <color indexed="8"/>
            <rFont val="Tahoma"/>
            <family val="2"/>
          </rPr>
          <t>Select the amortization period that the interest rate is based on; i.e.., fixed, variable, fixed with reset, etc.</t>
        </r>
      </text>
    </comment>
    <comment ref="I5" authorId="0" shapeId="0">
      <text>
        <r>
          <rPr>
            <sz val="8"/>
            <color indexed="8"/>
            <rFont val="Tahoma"/>
            <family val="2"/>
          </rPr>
          <t>FAM = Fully Amortized; AWC = Amortized with Call;
RR = Residual Receipts; DEF= Deferred;
IO = Interest Only;
F2FL = Fixed to Float;
MHP = Partial Interest Only</t>
        </r>
      </text>
    </comment>
    <comment ref="B20" authorId="1" shapeId="0">
      <text>
        <r>
          <rPr>
            <sz val="8"/>
            <color indexed="8"/>
            <rFont val="Tahoma"/>
            <family val="2"/>
          </rPr>
          <t>Investor or syndicator name, if known.</t>
        </r>
      </text>
    </comment>
    <comment ref="H20" authorId="4" shapeId="0">
      <text>
        <r>
          <rPr>
            <sz val="9"/>
            <color indexed="81"/>
            <rFont val="Tahoma"/>
            <family val="2"/>
          </rPr>
          <t xml:space="preserve">If project is not applying for tax credits, leave blank.
</t>
        </r>
      </text>
    </comment>
    <comment ref="B24" authorId="0" shapeId="0">
      <text>
        <r>
          <rPr>
            <sz val="8"/>
            <color indexed="8"/>
            <rFont val="Tahoma"/>
            <family val="2"/>
          </rPr>
          <t>1)  Do not show deferred costs as a source. 
2) Include any locality fee waivers as a source and show that there are no repayment requirements by entering "None" in the "Required Payment" column.</t>
        </r>
      </text>
    </comment>
    <comment ref="D24" authorId="1" shapeId="0">
      <text>
        <r>
          <rPr>
            <sz val="8"/>
            <color indexed="8"/>
            <rFont val="Tahoma"/>
            <family val="2"/>
          </rPr>
          <t xml:space="preserve">If no lien, put "NA".
</t>
        </r>
      </text>
    </comment>
    <comment ref="F24" authorId="1" shapeId="0">
      <text>
        <r>
          <rPr>
            <sz val="8"/>
            <color indexed="8"/>
            <rFont val="Tahoma"/>
            <family val="2"/>
          </rPr>
          <t>Actual or projected rate during construction period.</t>
        </r>
      </text>
    </comment>
    <comment ref="I24" authorId="3" shapeId="0">
      <text>
        <r>
          <rPr>
            <sz val="8"/>
            <color indexed="81"/>
            <rFont val="Tahoma"/>
            <family val="2"/>
          </rPr>
          <t>Amount of tax-exempt bond proceeds.</t>
        </r>
        <r>
          <rPr>
            <sz val="8"/>
            <color indexed="81"/>
            <rFont val="Tahoma"/>
            <family val="2"/>
          </rPr>
          <t xml:space="preserve">
</t>
        </r>
      </text>
    </comment>
    <comment ref="J24" authorId="3" shapeId="0">
      <text>
        <r>
          <rPr>
            <sz val="8"/>
            <color indexed="81"/>
            <rFont val="Tahoma"/>
            <family val="2"/>
          </rPr>
          <t>Amount allocated to residential space.</t>
        </r>
      </text>
    </comment>
    <comment ref="K24" authorId="3" shapeId="0">
      <text>
        <r>
          <rPr>
            <sz val="8"/>
            <color indexed="81"/>
            <rFont val="Tahoma"/>
            <family val="2"/>
          </rPr>
          <t>Amount allocated to commercial space.</t>
        </r>
      </text>
    </comment>
    <comment ref="B39" authorId="1" shapeId="0">
      <text>
        <r>
          <rPr>
            <sz val="8"/>
            <color indexed="8"/>
            <rFont val="Tahoma"/>
            <family val="2"/>
          </rPr>
          <t>Investor or syndicator name, if known.</t>
        </r>
      </text>
    </comment>
    <comment ref="H39" authorId="4" shapeId="0">
      <text>
        <r>
          <rPr>
            <b/>
            <sz val="9"/>
            <color indexed="81"/>
            <rFont val="Tahoma"/>
            <family val="2"/>
          </rPr>
          <t>Auto-populates from H20 above</t>
        </r>
        <r>
          <rPr>
            <sz val="9"/>
            <color indexed="81"/>
            <rFont val="Tahoma"/>
            <family val="2"/>
          </rPr>
          <t xml:space="preserve">
</t>
        </r>
      </text>
    </comment>
  </commentList>
</comments>
</file>

<file path=xl/comments10.xml><?xml version="1.0" encoding="utf-8"?>
<comments xmlns="http://schemas.openxmlformats.org/spreadsheetml/2006/main">
  <authors>
    <author>State Treasurer's Office</author>
    <author>Chen, Zhuo</author>
    <author>Michael Pope</author>
  </authors>
  <commentList>
    <comment ref="B3" authorId="0" shapeId="0">
      <text>
        <r>
          <rPr>
            <sz val="10"/>
            <rFont val="Arial"/>
            <family val="2"/>
          </rPr>
          <t xml:space="preserve">Rehabilitation projects: Lower of appraised "as-is" value or purchase price
</t>
        </r>
      </text>
    </comment>
    <comment ref="B14" authorId="1" shapeId="0">
      <text>
        <r>
          <rPr>
            <sz val="9"/>
            <color indexed="81"/>
            <rFont val="Tahoma"/>
            <family val="2"/>
          </rPr>
          <t>If the purchase price exceeds appraised value, input the overage amount in this row, unless a waiver has been obtained pursuant to TCAC regulations Section 10327(c)(6)</t>
        </r>
      </text>
    </comment>
    <comment ref="B27" authorId="0" shapeId="0">
      <text>
        <r>
          <rPr>
            <sz val="10"/>
            <rFont val="Arial"/>
            <family val="2"/>
          </rPr>
          <t xml:space="preserve">Relocation costs should correlate to the costs approved by either the local agency or federal agency. 
</t>
        </r>
      </text>
    </comment>
    <comment ref="E113" authorId="2" shapeId="0">
      <text>
        <r>
          <rPr>
            <b/>
            <sz val="10"/>
            <color indexed="81"/>
            <rFont val="Tahoma"/>
            <family val="2"/>
          </rPr>
          <t>including Deferred Developer fee, if any</t>
        </r>
        <r>
          <rPr>
            <sz val="10"/>
            <color indexed="81"/>
            <rFont val="Tahoma"/>
            <family val="2"/>
          </rPr>
          <t xml:space="preserve">
</t>
        </r>
      </text>
    </comment>
  </commentList>
</comments>
</file>

<file path=xl/comments11.xml><?xml version="1.0" encoding="utf-8"?>
<comments xmlns="http://schemas.openxmlformats.org/spreadsheetml/2006/main">
  <authors>
    <author>George Rodine</author>
  </authors>
  <commentList>
    <comment ref="I5" authorId="0" shapeId="0">
      <text>
        <r>
          <rPr>
            <b/>
            <sz val="9"/>
            <color indexed="81"/>
            <rFont val="Tahoma"/>
            <family val="2"/>
          </rPr>
          <t>Amount that must be paid from Sponsor Distributions as Developer Fee exceeds maximum HCD allowed</t>
        </r>
        <r>
          <rPr>
            <sz val="9"/>
            <color indexed="81"/>
            <rFont val="Tahoma"/>
            <family val="2"/>
          </rPr>
          <t xml:space="preserve">
</t>
        </r>
      </text>
    </comment>
    <comment ref="I6" authorId="0" shapeId="0">
      <text>
        <r>
          <rPr>
            <b/>
            <sz val="9"/>
            <color indexed="81"/>
            <rFont val="Tahoma"/>
            <family val="2"/>
          </rPr>
          <t>Amount in excess of HCD maximum allowed to be paid from development funding sources. Sponsor must increase deferred developer fee by this amount.</t>
        </r>
        <r>
          <rPr>
            <sz val="9"/>
            <color indexed="81"/>
            <rFont val="Tahoma"/>
            <family val="2"/>
          </rPr>
          <t xml:space="preserve">
</t>
        </r>
      </text>
    </comment>
    <comment ref="I7" authorId="0" shapeId="0">
      <text>
        <r>
          <rPr>
            <b/>
            <sz val="9"/>
            <color indexed="81"/>
            <rFont val="Tahoma"/>
            <family val="2"/>
          </rPr>
          <t xml:space="preserve">Amount of deferred developer fee that must be increased based on the minimum deferred developer fee.
</t>
        </r>
        <r>
          <rPr>
            <sz val="9"/>
            <color indexed="81"/>
            <rFont val="Tahoma"/>
            <family val="2"/>
          </rPr>
          <t xml:space="preserve">
</t>
        </r>
      </text>
    </comment>
    <comment ref="A8" authorId="0" shapeId="0">
      <text>
        <r>
          <rPr>
            <sz val="9"/>
            <color indexed="81"/>
            <rFont val="Tahoma"/>
            <family val="2"/>
          </rPr>
          <t xml:space="preserve">Section 1 calculates the fee allowable under the 9% tax credit program, which under the UMRs limits the fee paid from development sources, even if the project is using 4% credits.  For 4% New Construction projects, this includes applying TCAC's high cost adjustment.
</t>
        </r>
      </text>
    </comment>
    <comment ref="Q16" authorId="0" shapeId="0">
      <text>
        <r>
          <rPr>
            <b/>
            <u/>
            <sz val="9"/>
            <color indexed="81"/>
            <rFont val="Tahoma"/>
            <family val="2"/>
          </rPr>
          <t>4% New Construction</t>
        </r>
        <r>
          <rPr>
            <sz val="9"/>
            <color indexed="81"/>
            <rFont val="Tahoma"/>
            <family val="2"/>
          </rPr>
          <t xml:space="preserve">
Total Eligible Bases (EB) minus
(Developer Fee EB limits - §10327(c)(2)(A)(i),(ii),(iii) and Excess Parking EB limits §10327(c)(10) not allowed in 9% transactions)
</t>
        </r>
      </text>
    </comment>
    <comment ref="A22" authorId="0" shapeId="0">
      <text>
        <r>
          <rPr>
            <sz val="9"/>
            <color indexed="81"/>
            <rFont val="Tahoma"/>
            <family val="2"/>
          </rPr>
          <t>Section 2 applies only to projects using 4% tax credits. This section calculates the fee allowed in basis under TCAC rules for 4% projects, then, pursuant to UMR §8312, uses this amount to calculate the maximum total fee and the minimum deferred fee paid exclusively from operating income.</t>
        </r>
      </text>
    </comment>
    <comment ref="I36" authorId="0" shapeId="0">
      <text>
        <r>
          <rPr>
            <sz val="9"/>
            <color indexed="81"/>
            <rFont val="Tahoma"/>
            <family val="2"/>
          </rPr>
          <t xml:space="preserve">Excess Developer Fee amount must be paid from Sponsor Distributions.
</t>
        </r>
      </text>
    </comment>
    <comment ref="A40" authorId="0" shapeId="0">
      <text>
        <r>
          <rPr>
            <sz val="9"/>
            <color indexed="81"/>
            <rFont val="Tahoma"/>
            <family val="2"/>
          </rPr>
          <t xml:space="preserve">Section 3 only shows when "No Tax Credits" is selected for Proposed Project Type. This section calculates the developer fee for projects that do not use tax credits.
</t>
        </r>
      </text>
    </comment>
  </commentList>
</comments>
</file>

<file path=xl/comments12.xml><?xml version="1.0" encoding="utf-8"?>
<comments xmlns="http://schemas.openxmlformats.org/spreadsheetml/2006/main">
  <authors>
    <author>grodine</author>
  </authors>
  <commentList>
    <comment ref="Y4" authorId="0" shapeId="0">
      <text>
        <r>
          <rPr>
            <b/>
            <sz val="9"/>
            <color indexed="81"/>
            <rFont val="Tahoma"/>
            <family val="2"/>
          </rPr>
          <t>Enter total number of units in Project from the most recent unit mix chart. Include all Low-Income, Manager and Market Rate units.</t>
        </r>
      </text>
    </comment>
    <comment ref="A12" authorId="0" shapeId="0">
      <text>
        <r>
          <rPr>
            <b/>
            <sz val="9"/>
            <color indexed="81"/>
            <rFont val="Tahoma"/>
            <family val="2"/>
          </rPr>
          <t>If this analysis is being done at construction  loan closing, check your conclusions against the TCAC Staff Report - the Basis Limit amount should be very close to the TCAC amount.</t>
        </r>
      </text>
    </comment>
  </commentList>
</comments>
</file>

<file path=xl/comments13.xml><?xml version="1.0" encoding="utf-8"?>
<comments xmlns="http://schemas.openxmlformats.org/spreadsheetml/2006/main">
  <authors>
    <author>Christina DiFrancesco</author>
  </authors>
  <commentList>
    <comment ref="A8" authorId="0" shapeId="0">
      <text>
        <r>
          <rPr>
            <sz val="9"/>
            <color indexed="81"/>
            <rFont val="Tahoma"/>
            <family val="2"/>
          </rPr>
          <t xml:space="preserve">This includes NPLH units targeted to Homeless or At Risk of Chronic Homelessness
</t>
        </r>
      </text>
    </comment>
  </commentList>
</comments>
</file>

<file path=xl/comments14.xml><?xml version="1.0" encoding="utf-8"?>
<comments xmlns="http://schemas.openxmlformats.org/spreadsheetml/2006/main">
  <authors>
    <author>Richard</author>
    <author>rschmunk</author>
    <author>Debra Starbuck</author>
    <author>grodine</author>
    <author>Russ Schmunk</author>
    <author>mpope</author>
    <author>George Rodine</author>
    <author>Administrator</author>
  </authors>
  <commentList>
    <comment ref="A5" authorId="0" shapeId="0">
      <text>
        <r>
          <rPr>
            <sz val="8"/>
            <color indexed="8"/>
            <rFont val="Tahoma"/>
            <family val="2"/>
          </rPr>
          <t>Number of employees</t>
        </r>
        <r>
          <rPr>
            <b/>
            <sz val="8"/>
            <color indexed="8"/>
            <rFont val="Tahoma"/>
            <family val="2"/>
          </rPr>
          <t>.</t>
        </r>
      </text>
    </comment>
    <comment ref="B5" authorId="1" shapeId="0">
      <text>
        <r>
          <rPr>
            <sz val="8"/>
            <color indexed="8"/>
            <rFont val="Tahoma"/>
            <family val="2"/>
          </rPr>
          <t>Number of full-time equivalent employees.  E.g. 3 people working 0.5 time = 1.5 FTE.</t>
        </r>
      </text>
    </comment>
    <comment ref="D6" authorId="1" shapeId="0">
      <text>
        <r>
          <rPr>
            <sz val="8"/>
            <color indexed="8"/>
            <rFont val="Tahoma"/>
            <family val="2"/>
          </rPr>
          <t>Rolls to Account No. 6330 below.</t>
        </r>
      </text>
    </comment>
    <comment ref="E6" authorId="2" shapeId="0">
      <text>
        <r>
          <rPr>
            <sz val="8"/>
            <color indexed="8"/>
            <rFont val="Tahoma"/>
            <family val="2"/>
          </rPr>
          <t>Rolls  to Account No. 6331 below.</t>
        </r>
      </text>
    </comment>
    <comment ref="D7" authorId="1" shapeId="0">
      <text>
        <r>
          <rPr>
            <sz val="8"/>
            <color indexed="8"/>
            <rFont val="Tahoma"/>
            <family val="2"/>
          </rPr>
          <t>Rolls to Account No. 6330 below.</t>
        </r>
      </text>
    </comment>
    <comment ref="E7" authorId="2" shapeId="0">
      <text>
        <r>
          <rPr>
            <sz val="8"/>
            <color indexed="8"/>
            <rFont val="Tahoma"/>
            <family val="2"/>
          </rPr>
          <t>Rolls  to Account No. 6331 below.</t>
        </r>
      </text>
    </comment>
    <comment ref="D8" authorId="1" shapeId="0">
      <text>
        <r>
          <rPr>
            <sz val="8"/>
            <color indexed="8"/>
            <rFont val="Tahoma"/>
            <family val="2"/>
          </rPr>
          <t>Rolls to Account No. 6990 below.</t>
        </r>
      </text>
    </comment>
    <comment ref="E8" authorId="2" shapeId="0">
      <text>
        <r>
          <rPr>
            <sz val="8"/>
            <color indexed="8"/>
            <rFont val="Tahoma"/>
            <family val="2"/>
          </rPr>
          <t>Rolls  to Account No. 6331 below.</t>
        </r>
      </text>
    </comment>
    <comment ref="D9" authorId="1" shapeId="0">
      <text>
        <r>
          <rPr>
            <sz val="8"/>
            <color indexed="8"/>
            <rFont val="Tahoma"/>
            <family val="2"/>
          </rPr>
          <t>Rolls to Account No. 6990 below.</t>
        </r>
      </text>
    </comment>
    <comment ref="E9" authorId="3" shapeId="0">
      <text>
        <r>
          <rPr>
            <sz val="8"/>
            <color indexed="81"/>
            <rFont val="Tahoma"/>
            <family val="2"/>
          </rPr>
          <t>Rolls to Account No. 6331 below.</t>
        </r>
        <r>
          <rPr>
            <sz val="8"/>
            <color indexed="81"/>
            <rFont val="Tahoma"/>
            <family val="2"/>
          </rPr>
          <t xml:space="preserve">
</t>
        </r>
      </text>
    </comment>
    <comment ref="D10" authorId="1" shapeId="0">
      <text>
        <r>
          <rPr>
            <sz val="8"/>
            <color indexed="8"/>
            <rFont val="Tahoma"/>
            <family val="2"/>
          </rPr>
          <t>Rolls to Account No. 6990 below.</t>
        </r>
      </text>
    </comment>
    <comment ref="E10" authorId="2" shapeId="0">
      <text>
        <r>
          <rPr>
            <sz val="8"/>
            <color indexed="8"/>
            <rFont val="Tahoma"/>
            <family val="2"/>
          </rPr>
          <t>Rolls  to Account No. 6331 below.</t>
        </r>
      </text>
    </comment>
    <comment ref="D11" authorId="1" shapeId="0">
      <text>
        <r>
          <rPr>
            <sz val="8"/>
            <color indexed="8"/>
            <rFont val="Tahoma"/>
            <family val="2"/>
          </rPr>
          <t>Rolls to Account No. 6510 below.</t>
        </r>
      </text>
    </comment>
    <comment ref="E11" authorId="2" shapeId="0">
      <text>
        <r>
          <rPr>
            <sz val="8"/>
            <color indexed="8"/>
            <rFont val="Tahoma"/>
            <family val="2"/>
          </rPr>
          <t>Rolls  to Account No. 6521 below.</t>
        </r>
      </text>
    </comment>
    <comment ref="D12" authorId="4" shapeId="0">
      <text>
        <r>
          <rPr>
            <sz val="8"/>
            <color indexed="81"/>
            <rFont val="Tahoma"/>
            <family val="2"/>
          </rPr>
          <t>Rolls to Account No. 6310 below.</t>
        </r>
      </text>
    </comment>
    <comment ref="E12" authorId="2" shapeId="0">
      <text>
        <r>
          <rPr>
            <sz val="8"/>
            <color indexed="8"/>
            <rFont val="Tahoma"/>
            <family val="2"/>
          </rPr>
          <t>Rolls to Account No. 6331 below.</t>
        </r>
      </text>
    </comment>
    <comment ref="D13" authorId="1" shapeId="0">
      <text>
        <r>
          <rPr>
            <sz val="8"/>
            <color indexed="8"/>
            <rFont val="Tahoma"/>
            <family val="2"/>
          </rPr>
          <t>Rolls to Account No. 6510 below.</t>
        </r>
      </text>
    </comment>
    <comment ref="E13" authorId="1" shapeId="0">
      <text>
        <r>
          <rPr>
            <sz val="8"/>
            <color indexed="8"/>
            <rFont val="Tahoma"/>
            <family val="2"/>
          </rPr>
          <t>Rolls to Account No. 6531 below.</t>
        </r>
      </text>
    </comment>
    <comment ref="C14" authorId="2" shapeId="0">
      <text>
        <r>
          <rPr>
            <sz val="8"/>
            <color indexed="8"/>
            <rFont val="Tahoma"/>
            <family val="2"/>
          </rPr>
          <t xml:space="preserve">List any other employees positions included in project operating expenses. </t>
        </r>
      </text>
    </comment>
    <comment ref="D14" authorId="3" shapeId="0">
      <text>
        <r>
          <rPr>
            <sz val="8"/>
            <color indexed="81"/>
            <rFont val="Tahoma"/>
            <family val="2"/>
          </rPr>
          <t>Rolls to Account No. 6510 below.</t>
        </r>
      </text>
    </comment>
    <comment ref="E14" authorId="3" shapeId="0">
      <text>
        <r>
          <rPr>
            <sz val="8"/>
            <color indexed="81"/>
            <rFont val="Tahoma"/>
            <family val="2"/>
          </rPr>
          <t>Rolls to Account No. 6521 below.</t>
        </r>
        <r>
          <rPr>
            <sz val="8"/>
            <color indexed="81"/>
            <rFont val="Tahoma"/>
            <family val="2"/>
          </rPr>
          <t xml:space="preserve">
</t>
        </r>
      </text>
    </comment>
    <comment ref="C15" authorId="2" shapeId="0">
      <text>
        <r>
          <rPr>
            <sz val="8"/>
            <color indexed="8"/>
            <rFont val="Tahoma"/>
            <family val="2"/>
          </rPr>
          <t xml:space="preserve">List any other employees positions included in project operating expenses. </t>
        </r>
      </text>
    </comment>
    <comment ref="D15" authorId="3" shapeId="0">
      <text>
        <r>
          <rPr>
            <sz val="8"/>
            <color indexed="81"/>
            <rFont val="Tahoma"/>
            <family val="2"/>
          </rPr>
          <t>Rolls to Account No. 6510 below.</t>
        </r>
        <r>
          <rPr>
            <sz val="8"/>
            <color indexed="81"/>
            <rFont val="Tahoma"/>
            <family val="2"/>
          </rPr>
          <t xml:space="preserve">
</t>
        </r>
      </text>
    </comment>
    <comment ref="E15" authorId="3" shapeId="0">
      <text>
        <r>
          <rPr>
            <sz val="8"/>
            <color indexed="81"/>
            <rFont val="Tahoma"/>
            <family val="2"/>
          </rPr>
          <t>Rolls to Account No. 6521 below.</t>
        </r>
        <r>
          <rPr>
            <sz val="8"/>
            <color indexed="81"/>
            <rFont val="Tahoma"/>
            <family val="2"/>
          </rPr>
          <t xml:space="preserve">
</t>
        </r>
      </text>
    </comment>
    <comment ref="D17" authorId="3" shapeId="0">
      <text>
        <r>
          <rPr>
            <sz val="8"/>
            <color indexed="81"/>
            <rFont val="Tahoma"/>
            <family val="2"/>
          </rPr>
          <t>Rolls to Account No. 6711 below.</t>
        </r>
        <r>
          <rPr>
            <sz val="8"/>
            <color indexed="81"/>
            <rFont val="Tahoma"/>
            <family val="2"/>
          </rPr>
          <t xml:space="preserve">
</t>
        </r>
      </text>
    </comment>
    <comment ref="D18" authorId="3" shapeId="0">
      <text>
        <r>
          <rPr>
            <sz val="8"/>
            <color indexed="81"/>
            <rFont val="Tahoma"/>
            <family val="2"/>
          </rPr>
          <t>Rolls to Account No. 6722 below.</t>
        </r>
        <r>
          <rPr>
            <sz val="8"/>
            <color indexed="81"/>
            <rFont val="Tahoma"/>
            <family val="2"/>
          </rPr>
          <t xml:space="preserve">
</t>
        </r>
      </text>
    </comment>
    <comment ref="E18" authorId="1" shapeId="0">
      <text>
        <r>
          <rPr>
            <sz val="8"/>
            <color indexed="81"/>
            <rFont val="Tahoma"/>
            <family val="2"/>
          </rPr>
          <t xml:space="preserve">The alternative is to not show income from employee units.
</t>
        </r>
      </text>
    </comment>
    <comment ref="D19" authorId="3" shapeId="0">
      <text>
        <r>
          <rPr>
            <sz val="8"/>
            <color indexed="81"/>
            <rFont val="Tahoma"/>
            <family val="2"/>
          </rPr>
          <t>Rolls to Account No. 6723 below.</t>
        </r>
      </text>
    </comment>
    <comment ref="A25" authorId="5" shapeId="0">
      <text>
        <r>
          <rPr>
            <sz val="8"/>
            <color indexed="81"/>
            <rFont val="Tahoma"/>
            <family val="2"/>
          </rPr>
          <t xml:space="preserve">Income restriction level, expressed as a % of AMI.  </t>
        </r>
      </text>
    </comment>
    <comment ref="E32" authorId="4" shapeId="0">
      <text>
        <r>
          <rPr>
            <sz val="8"/>
            <color indexed="81"/>
            <rFont val="Tahoma"/>
            <family val="2"/>
          </rPr>
          <t>Rolls from Misc.  sheet.</t>
        </r>
      </text>
    </comment>
    <comment ref="D33" authorId="3" shapeId="0">
      <text>
        <r>
          <rPr>
            <sz val="8"/>
            <color indexed="81"/>
            <rFont val="Tahoma"/>
            <family val="2"/>
          </rPr>
          <t>Rolls from Cash Flow sheet.</t>
        </r>
        <r>
          <rPr>
            <sz val="8"/>
            <color indexed="81"/>
            <rFont val="Tahoma"/>
            <family val="2"/>
          </rPr>
          <t xml:space="preserve">
</t>
        </r>
      </text>
    </comment>
    <comment ref="D34" authorId="3" shapeId="0">
      <text>
        <r>
          <rPr>
            <sz val="8"/>
            <color indexed="81"/>
            <rFont val="Tahoma"/>
            <family val="2"/>
          </rPr>
          <t>Rolls from Cash Flow sheet.</t>
        </r>
        <r>
          <rPr>
            <sz val="8"/>
            <color indexed="81"/>
            <rFont val="Tahoma"/>
            <family val="2"/>
          </rPr>
          <t xml:space="preserve">
</t>
        </r>
      </text>
    </comment>
    <comment ref="D36" authorId="3" shapeId="0">
      <text>
        <r>
          <rPr>
            <sz val="8"/>
            <color indexed="81"/>
            <rFont val="Tahoma"/>
            <family val="2"/>
          </rPr>
          <t>Rolls from Subsidies sheet.</t>
        </r>
        <r>
          <rPr>
            <sz val="8"/>
            <color indexed="81"/>
            <rFont val="Tahoma"/>
            <family val="2"/>
          </rPr>
          <t xml:space="preserve">
</t>
        </r>
      </text>
    </comment>
    <comment ref="D37" authorId="3" shapeId="0">
      <text>
        <r>
          <rPr>
            <sz val="8"/>
            <color indexed="81"/>
            <rFont val="Tahoma"/>
            <family val="2"/>
          </rPr>
          <t>Rolls from Subsidies sheet.</t>
        </r>
        <r>
          <rPr>
            <sz val="8"/>
            <color indexed="81"/>
            <rFont val="Tahoma"/>
            <family val="2"/>
          </rPr>
          <t xml:space="preserve">
</t>
        </r>
      </text>
    </comment>
    <comment ref="D40" authorId="4" shapeId="0">
      <text>
        <r>
          <rPr>
            <sz val="8"/>
            <color indexed="81"/>
            <rFont val="Tahoma"/>
            <family val="2"/>
          </rPr>
          <t>Rolls from Misc. sheet.</t>
        </r>
      </text>
    </comment>
    <comment ref="D41" authorId="4" shapeId="0">
      <text>
        <r>
          <rPr>
            <sz val="8"/>
            <color indexed="81"/>
            <rFont val="Tahoma"/>
            <family val="2"/>
          </rPr>
          <t>Rolls from Misc. sheet.</t>
        </r>
      </text>
    </comment>
    <comment ref="E41" authorId="4" shapeId="0">
      <text>
        <r>
          <rPr>
            <sz val="8"/>
            <color indexed="81"/>
            <rFont val="Tahoma"/>
            <family val="2"/>
          </rPr>
          <t>Rolls from Misc.  sheet.</t>
        </r>
        <r>
          <rPr>
            <sz val="8"/>
            <color indexed="81"/>
            <rFont val="Tahoma"/>
            <family val="2"/>
          </rPr>
          <t xml:space="preserve">
</t>
        </r>
      </text>
    </comment>
    <comment ref="D45" authorId="3" shapeId="0">
      <text>
        <r>
          <rPr>
            <sz val="8"/>
            <color indexed="81"/>
            <rFont val="Tahoma"/>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D46" authorId="3" shapeId="0">
      <text>
        <r>
          <rPr>
            <sz val="8"/>
            <color indexed="81"/>
            <rFont val="Tahoma"/>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D47" authorId="3" shapeId="0">
      <text>
        <r>
          <rPr>
            <sz val="8"/>
            <color indexed="81"/>
            <rFont val="Tahoma"/>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D48" authorId="3" shapeId="0">
      <text>
        <r>
          <rPr>
            <sz val="8"/>
            <color indexed="81"/>
            <rFont val="Tahoma"/>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D49" authorId="3" shapeId="0">
      <text>
        <r>
          <rPr>
            <sz val="8"/>
            <color indexed="81"/>
            <rFont val="Tahoma"/>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D92" authorId="4" shapeId="0">
      <text>
        <r>
          <rPr>
            <sz val="8"/>
            <color indexed="81"/>
            <rFont val="Tahoma"/>
            <family val="2"/>
          </rPr>
          <t xml:space="preserve">Including assessments.
</t>
        </r>
      </text>
    </comment>
    <comment ref="E92" authorId="4" shapeId="0">
      <text>
        <r>
          <rPr>
            <sz val="8"/>
            <color indexed="81"/>
            <rFont val="Tahoma"/>
            <family val="2"/>
          </rPr>
          <t xml:space="preserve">Including assessments.
</t>
        </r>
      </text>
    </comment>
    <comment ref="D102" authorId="6" shapeId="0">
      <text>
        <r>
          <rPr>
            <sz val="9"/>
            <color indexed="81"/>
            <rFont val="Tahoma"/>
            <family val="2"/>
          </rPr>
          <t>If shaded red, amount exceeds maximum allowable</t>
        </r>
        <r>
          <rPr>
            <b/>
            <sz val="9"/>
            <color indexed="81"/>
            <rFont val="Tahoma"/>
            <family val="2"/>
          </rPr>
          <t xml:space="preserve">
HCD UMRs 8314(f)(1)</t>
        </r>
        <r>
          <rPr>
            <sz val="9"/>
            <color indexed="81"/>
            <rFont val="Tahoma"/>
            <family val="2"/>
          </rPr>
          <t xml:space="preserve">
</t>
        </r>
      </text>
    </comment>
    <comment ref="F102" authorId="6" shapeId="0">
      <text>
        <r>
          <rPr>
            <sz val="9"/>
            <color indexed="81"/>
            <rFont val="Tahoma"/>
            <family val="2"/>
          </rPr>
          <t xml:space="preserve">Staff Supervisor(s) Salaries - may not exceed 10% of on-site staff salaries
</t>
        </r>
        <r>
          <rPr>
            <b/>
            <sz val="9"/>
            <color indexed="81"/>
            <rFont val="Tahoma"/>
            <family val="2"/>
          </rPr>
          <t>UMR §8314(f)(1)</t>
        </r>
        <r>
          <rPr>
            <sz val="9"/>
            <color indexed="81"/>
            <rFont val="Tahoma"/>
            <family val="2"/>
          </rPr>
          <t xml:space="preserve">
</t>
        </r>
      </text>
    </comment>
    <comment ref="D105" authorId="6" shapeId="0">
      <text>
        <r>
          <rPr>
            <sz val="9"/>
            <color indexed="81"/>
            <rFont val="Tahoma"/>
            <family val="2"/>
          </rPr>
          <t>If shaded red, amount exceeds maximum allowable</t>
        </r>
        <r>
          <rPr>
            <b/>
            <sz val="9"/>
            <color indexed="81"/>
            <rFont val="Tahoma"/>
            <family val="2"/>
          </rPr>
          <t xml:space="preserve">
HCD UMRs 8314(f)(2)</t>
        </r>
        <r>
          <rPr>
            <sz val="9"/>
            <color indexed="81"/>
            <rFont val="Tahoma"/>
            <family val="2"/>
          </rPr>
          <t xml:space="preserve">
</t>
        </r>
      </text>
    </comment>
    <comment ref="F105" authorId="6" shapeId="0">
      <text>
        <r>
          <rPr>
            <sz val="9"/>
            <color indexed="81"/>
            <rFont val="Tahoma"/>
            <family val="2"/>
          </rPr>
          <t xml:space="preserve">Supportive Services Admin. Overhead - may not exceed 15% of Total Supportive Services Costs
</t>
        </r>
        <r>
          <rPr>
            <b/>
            <sz val="9"/>
            <color indexed="81"/>
            <rFont val="Tahoma"/>
            <family val="2"/>
          </rPr>
          <t>UMR §8314(f)(2)</t>
        </r>
      </text>
    </comment>
    <comment ref="D108" authorId="6" shapeId="0">
      <text>
        <r>
          <rPr>
            <sz val="9"/>
            <color indexed="81"/>
            <rFont val="Tahoma"/>
            <family val="2"/>
          </rPr>
          <t>If shaded red, amount exceeds maximum allowable</t>
        </r>
        <r>
          <rPr>
            <b/>
            <sz val="9"/>
            <color indexed="81"/>
            <rFont val="Tahoma"/>
            <family val="2"/>
          </rPr>
          <t xml:space="preserve">
HCD UMRs 8314(e)</t>
        </r>
        <r>
          <rPr>
            <sz val="9"/>
            <color indexed="81"/>
            <rFont val="Tahoma"/>
            <family val="2"/>
          </rPr>
          <t xml:space="preserve">
</t>
        </r>
      </text>
    </comment>
    <comment ref="F108" authorId="6" shapeId="0">
      <text>
        <r>
          <rPr>
            <sz val="9"/>
            <color indexed="81"/>
            <rFont val="Tahoma"/>
            <family val="2"/>
          </rPr>
          <t xml:space="preserve">Total Supportive Services Costs may not exceed Supportive Cost Limits
</t>
        </r>
        <r>
          <rPr>
            <b/>
            <sz val="9"/>
            <color indexed="81"/>
            <rFont val="Tahoma"/>
            <family val="2"/>
          </rPr>
          <t>UMR §8314(e)
see "Supportive Services Costs' worksheet</t>
        </r>
      </text>
    </comment>
    <comment ref="C111" authorId="5" shapeId="0">
      <text>
        <r>
          <rPr>
            <sz val="8"/>
            <color indexed="81"/>
            <rFont val="Tahoma"/>
            <family val="2"/>
          </rPr>
          <t>Reserves funded from operating cash flow only.  Do not include capitalized reserves.</t>
        </r>
      </text>
    </comment>
    <comment ref="C123" authorId="7" shapeId="0">
      <text>
        <r>
          <rPr>
            <sz val="9"/>
            <color indexed="81"/>
            <rFont val="Tahoma"/>
            <family val="2"/>
          </rPr>
          <t>Required Residential Debt Servive: Do not include residual receipts payments.  Show only "must pay" residential 
debt service.</t>
        </r>
      </text>
    </comment>
    <comment ref="C124" authorId="7" shapeId="0">
      <text>
        <r>
          <rPr>
            <sz val="9"/>
            <color indexed="81"/>
            <rFont val="Tahoma"/>
            <family val="2"/>
          </rPr>
          <t>Required Residential Debt Servive: Do not include residual receipts payments.  Show only "must pay" residential 
debt service.</t>
        </r>
      </text>
    </comment>
    <comment ref="C125" authorId="7" shapeId="0">
      <text>
        <r>
          <rPr>
            <sz val="9"/>
            <color indexed="81"/>
            <rFont val="Tahoma"/>
            <family val="2"/>
          </rPr>
          <t>Required Residential Debt Servive: Do not include residual receipts payments.  Show only "must pay" residential 
debt service.</t>
        </r>
      </text>
    </comment>
    <comment ref="D130" authorId="3" shapeId="0">
      <text>
        <r>
          <rPr>
            <sz val="8"/>
            <color indexed="81"/>
            <rFont val="Tahoma"/>
            <family val="2"/>
          </rPr>
          <t xml:space="preserve">If HCD application, rolls to Cash Flow sheet below Debt Service Coverage </t>
        </r>
        <r>
          <rPr>
            <sz val="8"/>
            <color indexed="81"/>
            <rFont val="Tahoma"/>
            <family val="2"/>
          </rPr>
          <t xml:space="preserve">
Ratio line.</t>
        </r>
      </text>
    </comment>
  </commentList>
</comments>
</file>

<file path=xl/comments15.xml><?xml version="1.0" encoding="utf-8"?>
<comments xmlns="http://schemas.openxmlformats.org/spreadsheetml/2006/main">
  <authors>
    <author>grodine</author>
    <author>Information Technology</author>
    <author>rschmunk</author>
    <author>eabdala</author>
    <author>Debra Starbuck</author>
    <author>Russ Schmunk</author>
  </authors>
  <commentList>
    <comment ref="R4" authorId="0" shapeId="0">
      <text>
        <r>
          <rPr>
            <sz val="9"/>
            <color indexed="81"/>
            <rFont val="Tahoma"/>
            <family val="2"/>
          </rPr>
          <t>To unhide columns for additional years: select columns R and AR, right click mouse, select Unhide. Hide columns not needed.</t>
        </r>
      </text>
    </comment>
    <comment ref="W4" authorId="0" shapeId="0">
      <text>
        <r>
          <rPr>
            <sz val="9"/>
            <color indexed="81"/>
            <rFont val="Tahoma"/>
            <family val="2"/>
          </rPr>
          <t>To unhide columns for additional years: select columns W and AR, right click mouse, select Unhide. Hide columns not needed.</t>
        </r>
      </text>
    </comment>
    <comment ref="A5" authorId="1" shapeId="0">
      <text>
        <r>
          <rPr>
            <sz val="9"/>
            <color indexed="8"/>
            <rFont val="Tahoma"/>
            <family val="2"/>
          </rPr>
          <t>This should represent income from all regulated and income restricted rental units.</t>
        </r>
      </text>
    </comment>
    <comment ref="A6" authorId="1" shapeId="0">
      <text>
        <r>
          <rPr>
            <sz val="9"/>
            <color indexed="8"/>
            <rFont val="Tahoma"/>
            <family val="2"/>
          </rPr>
          <t>This may include manager's units that aren't regulated by income restrictions - or market rate units</t>
        </r>
        <r>
          <rPr>
            <sz val="8"/>
            <color indexed="8"/>
            <rFont val="Tahoma"/>
            <family val="2"/>
          </rPr>
          <t>.</t>
        </r>
      </text>
    </comment>
    <comment ref="A7" authorId="2" shapeId="0">
      <text>
        <r>
          <rPr>
            <sz val="9"/>
            <color indexed="81"/>
            <rFont val="Tahoma"/>
            <family val="2"/>
          </rPr>
          <t>Aka rent subsidies. Calculated as the contract rent amount minus the restricted amount -- actual subsidies will likely be greater</t>
        </r>
      </text>
    </comment>
    <comment ref="A11" authorId="2" shapeId="0">
      <text>
        <r>
          <rPr>
            <sz val="9"/>
            <color indexed="81"/>
            <rFont val="Tahoma"/>
            <family val="2"/>
          </rPr>
          <t>Enter other 
source.  E.g.. Capitalized reserve.</t>
        </r>
      </text>
    </comment>
    <comment ref="A16" authorId="3" shapeId="0">
      <text>
        <r>
          <rPr>
            <sz val="9"/>
            <color indexed="81"/>
            <rFont val="Tahoma"/>
            <family val="2"/>
          </rPr>
          <t>Garage &amp; Parking Spaces and Other Miscellaneous Rent Revenue</t>
        </r>
      </text>
    </comment>
    <comment ref="C28" authorId="4" shapeId="0">
      <text>
        <r>
          <rPr>
            <sz val="9"/>
            <color indexed="8"/>
            <rFont val="Tahoma"/>
            <family val="2"/>
          </rPr>
          <t>CalHFA does not consider Commercial income for purposes of establishing debt service coverage ratios.  Change this number to 100% for CalHFA loan requests.</t>
        </r>
      </text>
    </comment>
    <comment ref="C47" authorId="4" shapeId="0">
      <text>
        <r>
          <rPr>
            <sz val="9"/>
            <color indexed="8"/>
            <rFont val="Tahoma"/>
            <family val="2"/>
          </rPr>
          <t xml:space="preserve">This figure is excluded from Total Debt Service </t>
        </r>
      </text>
    </comment>
    <comment ref="D61" authorId="5" shapeId="0">
      <text>
        <r>
          <rPr>
            <sz val="9"/>
            <color indexed="81"/>
            <rFont val="Tahoma"/>
            <family val="2"/>
          </rPr>
          <t>This section appears only if the box on the General sheet indicating HCD funding  is checked.</t>
        </r>
      </text>
    </comment>
    <comment ref="D74" authorId="0" shapeId="0">
      <text>
        <r>
          <rPr>
            <sz val="9"/>
            <color indexed="81"/>
            <rFont val="Tahoma"/>
            <family val="2"/>
          </rPr>
          <t>Rolls from Operating sheet Account No. 7190 (Asset Management/Similar Fees), which is below the Cash Flow line on the Operating sheet.</t>
        </r>
      </text>
    </comment>
    <comment ref="D77" authorId="0" shapeId="0">
      <text>
        <r>
          <rPr>
            <sz val="9"/>
            <color indexed="81"/>
            <rFont val="Tahoma"/>
            <family val="2"/>
          </rPr>
          <t>Enter amount of Deferred Developer Fee budgeted for payment from cash flow prior to Distributions and residual receipts loan payments.</t>
        </r>
      </text>
    </comment>
  </commentList>
</comments>
</file>

<file path=xl/comments16.xml><?xml version="1.0" encoding="utf-8"?>
<comments xmlns="http://schemas.openxmlformats.org/spreadsheetml/2006/main">
  <authors>
    <author>George Rodine</author>
    <author>hcdadmin</author>
    <author>rschmunk</author>
    <author>Administrator</author>
    <author>eabdala</author>
  </authors>
  <commentList>
    <comment ref="C5" authorId="0" shapeId="0">
      <text>
        <r>
          <rPr>
            <b/>
            <sz val="9"/>
            <color indexed="81"/>
            <rFont val="Tahoma"/>
            <family val="2"/>
          </rPr>
          <t xml:space="preserve">For 9% Tax Credit Projects:
</t>
        </r>
        <r>
          <rPr>
            <sz val="9"/>
            <color indexed="81"/>
            <rFont val="Tahoma"/>
            <family val="2"/>
          </rPr>
          <t xml:space="preserve">If cell is shaded in red, the total assisted units in columns K, N, Q, T and W in the chart at right does not equal total assisted units in the NPLH Rents worksheet.
 </t>
        </r>
      </text>
    </comment>
    <comment ref="C7" authorId="1" shapeId="0">
      <text>
        <r>
          <rPr>
            <sz val="9"/>
            <color indexed="81"/>
            <rFont val="Tahoma"/>
            <family val="2"/>
          </rPr>
          <t>If shaded red, Total</t>
        </r>
        <r>
          <rPr>
            <b/>
            <sz val="9"/>
            <color indexed="81"/>
            <rFont val="Tahoma"/>
            <family val="2"/>
          </rPr>
          <t xml:space="preserve"> </t>
        </r>
        <r>
          <rPr>
            <sz val="9"/>
            <color indexed="81"/>
            <rFont val="Tahoma"/>
            <family val="2"/>
          </rPr>
          <t xml:space="preserve">Number Units is greater than 20 and Total Number of NPLH Assisted Units exceeds the maximum allowable 
</t>
        </r>
        <r>
          <rPr>
            <b/>
            <sz val="9"/>
            <color indexed="81"/>
            <rFont val="Tahoma"/>
            <family val="2"/>
          </rPr>
          <t>§209(f)(2)</t>
        </r>
      </text>
    </comment>
    <comment ref="D8" authorId="0" shapeId="0">
      <text>
        <r>
          <rPr>
            <sz val="9"/>
            <color indexed="81"/>
            <rFont val="Tahoma"/>
            <family val="2"/>
          </rPr>
          <t xml:space="preserve">NPLH Assisted Units divided by Total Units less Manager Units.
</t>
        </r>
      </text>
    </comment>
    <comment ref="A10" authorId="2" shapeId="0">
      <text>
        <r>
          <rPr>
            <sz val="9"/>
            <color indexed="81"/>
            <rFont val="Tahoma"/>
            <family val="2"/>
          </rPr>
          <t>Aka rent subsidies. Calculated as the contract rent amount minus the restricted amount -- actual subsidies will likely be greater</t>
        </r>
      </text>
    </comment>
    <comment ref="B11" authorId="3" shapeId="0">
      <text>
        <r>
          <rPr>
            <sz val="9"/>
            <color indexed="81"/>
            <rFont val="Tahoma"/>
            <family val="2"/>
          </rPr>
          <t xml:space="preserve">An alternative proration % may be entered in the cell at right. If a different proration is used, explain the rational for proration in yellow comments box below. If amounts in Year 1 through 20 are manually entered, explain rational in yellow comments box below.
</t>
        </r>
      </text>
    </comment>
    <comment ref="B12" authorId="3" shapeId="0">
      <text>
        <r>
          <rPr>
            <sz val="9"/>
            <color indexed="81"/>
            <rFont val="Tahoma"/>
            <family val="2"/>
          </rPr>
          <t xml:space="preserve">An alternative proration % may be entered in the cell at right. If a different proration is used, explain the rational for proration in yellow comments box below. If amounts in Year 1 through 20 are manually entered, explain rational in yellow comments box below.
</t>
        </r>
      </text>
    </comment>
    <comment ref="A13" authorId="3" shapeId="0">
      <text>
        <r>
          <rPr>
            <sz val="9"/>
            <color indexed="81"/>
            <rFont val="Tahoma"/>
            <family val="2"/>
          </rPr>
          <t xml:space="preserve">An alternative proration % may be entered in the cell at right. If a different proration is used, explain the rational for proration in yellow comments box below. If amounts in Year 1 through 20 are manually entered, explain rational in yellow comments box below.
</t>
        </r>
      </text>
    </comment>
    <comment ref="A14" authorId="3" shapeId="0">
      <text>
        <r>
          <rPr>
            <sz val="9"/>
            <color indexed="81"/>
            <rFont val="Tahoma"/>
            <family val="2"/>
          </rPr>
          <t xml:space="preserve">An alternative proration % may be entered in the cell at right. If a different proration is used, explain the rational for proration in yellow comments box below. If amounts in Year 1 through 20 are manually entered, explain rational in yellow comments box below.
</t>
        </r>
      </text>
    </comment>
    <comment ref="A19" authorId="4" shapeId="0">
      <text>
        <r>
          <rPr>
            <sz val="9"/>
            <color indexed="81"/>
            <rFont val="Tahoma"/>
            <family val="2"/>
          </rPr>
          <t>Garage &amp; Parking Spaces and Other Miscellaneous Rent Revenue</t>
        </r>
      </text>
    </comment>
    <comment ref="F24" authorId="0" shapeId="0">
      <text>
        <r>
          <rPr>
            <b/>
            <sz val="9"/>
            <color indexed="81"/>
            <rFont val="Tahoma"/>
            <family val="2"/>
          </rPr>
          <t xml:space="preserve">Per §209(f)(5)
</t>
        </r>
        <r>
          <rPr>
            <sz val="9"/>
            <color indexed="81"/>
            <rFont val="Tahoma"/>
            <family val="2"/>
          </rPr>
          <t xml:space="preserve">For purposes of sizing the COSR, a first-year vacancy rate of 15% may be used if doing so will not cause the Project to exceed the current limits established
pursuant to §200 (h) as set forth in the current NOFA.
</t>
        </r>
      </text>
    </comment>
    <comment ref="G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H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I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J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K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L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M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N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O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P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Q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R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S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T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U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V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W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X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Y24" authorId="0" shapeId="0">
      <text>
        <r>
          <rPr>
            <b/>
            <sz val="9"/>
            <color indexed="81"/>
            <rFont val="Tahoma"/>
            <family val="2"/>
          </rPr>
          <t xml:space="preserve">Per §209(f)(4)
</t>
        </r>
        <r>
          <rPr>
            <sz val="9"/>
            <color indexed="81"/>
            <rFont val="Tahoma"/>
            <family val="2"/>
          </rPr>
          <t xml:space="preserve">The stabilized residential vacancy rate for the Assisted Units shall be assumed to be
5%, unless use of a lower or higher rate is required by another funding source, including TCAC, or is </t>
        </r>
        <r>
          <rPr>
            <b/>
            <sz val="9"/>
            <color indexed="81"/>
            <rFont val="Tahoma"/>
            <family val="2"/>
          </rPr>
          <t>supported</t>
        </r>
        <r>
          <rPr>
            <sz val="9"/>
            <color indexed="81"/>
            <rFont val="Tahoma"/>
            <family val="2"/>
          </rPr>
          <t xml:space="preserve"> by compelling market or other evidence.
</t>
        </r>
      </text>
    </comment>
    <comment ref="A26" authorId="2" shapeId="0">
      <text>
        <r>
          <rPr>
            <sz val="9"/>
            <color indexed="81"/>
            <rFont val="Tahoma"/>
            <family val="2"/>
          </rPr>
          <t>Aka rent subsidies. Calculated as the contract rent amount minus the restricted amount -- actual subsidies will likely be greater</t>
        </r>
      </text>
    </comment>
    <comment ref="D35" authorId="3" shapeId="0">
      <text>
        <r>
          <rPr>
            <sz val="9"/>
            <color indexed="81"/>
            <rFont val="Tahoma"/>
            <family val="2"/>
          </rPr>
          <t xml:space="preserve">If applicable, enter alternative proration % and explain rational for proration in yellow comments box below.
</t>
        </r>
      </text>
    </comment>
    <comment ref="C40" authorId="1" shapeId="0">
      <text>
        <r>
          <rPr>
            <sz val="9"/>
            <color indexed="81"/>
            <rFont val="Tahoma"/>
            <family val="2"/>
          </rPr>
          <t xml:space="preserve">Insert the annual HCD .42% payment amount. The payment entered should only be the portion related to the NPLH Capital Loan Amount.
</t>
        </r>
      </text>
    </comment>
    <comment ref="A52" authorId="0" shapeId="0">
      <text>
        <r>
          <rPr>
            <sz val="9"/>
            <color indexed="81"/>
            <rFont val="Tahoma"/>
            <family val="2"/>
          </rPr>
          <t xml:space="preserve">If amount is </t>
        </r>
        <r>
          <rPr>
            <b/>
            <i/>
            <sz val="9"/>
            <color indexed="81"/>
            <rFont val="Tahoma"/>
            <family val="2"/>
          </rPr>
          <t>bold font and italic</t>
        </r>
        <r>
          <rPr>
            <sz val="9"/>
            <color indexed="81"/>
            <rFont val="Tahoma"/>
            <family val="2"/>
          </rPr>
          <t xml:space="preserve"> indicates payment equal maximum per year based on 5% of COSR.
</t>
        </r>
      </text>
    </comment>
    <comment ref="A57" authorId="0" shapeId="0">
      <text>
        <r>
          <rPr>
            <sz val="9"/>
            <color indexed="81"/>
            <rFont val="Tahoma"/>
            <family val="2"/>
          </rPr>
          <t xml:space="preserve">If amount is </t>
        </r>
        <r>
          <rPr>
            <sz val="9"/>
            <color indexed="39"/>
            <rFont val="Tahoma"/>
            <family val="2"/>
          </rPr>
          <t>blue font</t>
        </r>
        <r>
          <rPr>
            <sz val="9"/>
            <color indexed="81"/>
            <rFont val="Tahoma"/>
            <family val="2"/>
          </rPr>
          <t xml:space="preserve">, payment exceeds maximum per year based on 5% of COSR. If amount is </t>
        </r>
        <r>
          <rPr>
            <b/>
            <i/>
            <sz val="9"/>
            <color indexed="12"/>
            <rFont val="Tahoma"/>
            <family val="2"/>
          </rPr>
          <t>bold and italic blue font</t>
        </r>
        <r>
          <rPr>
            <sz val="9"/>
            <color indexed="81"/>
            <rFont val="Tahoma"/>
            <family val="2"/>
          </rPr>
          <t xml:space="preserve"> indicates payment equal maximum per year based on 7% of COSR.</t>
        </r>
      </text>
    </comment>
  </commentList>
</comments>
</file>

<file path=xl/comments17.xml><?xml version="1.0" encoding="utf-8"?>
<comments xmlns="http://schemas.openxmlformats.org/spreadsheetml/2006/main">
  <authors>
    <author>George Rodine</author>
    <author>hcdadmin</author>
    <author>rschmunk</author>
    <author>Administrator</author>
    <author>eabdala</author>
  </authors>
  <commentList>
    <comment ref="C3" authorId="0" shapeId="0">
      <text>
        <r>
          <rPr>
            <sz val="9"/>
            <color indexed="81"/>
            <rFont val="Tahoma"/>
            <family val="2"/>
          </rPr>
          <t xml:space="preserve">If cell is shaded in red, the total assisted units in the chart at right does not equal total assisted units in the HHC Rents worksheet.
 </t>
        </r>
      </text>
    </comment>
    <comment ref="C5" authorId="1" shapeId="0">
      <text>
        <r>
          <rPr>
            <sz val="9"/>
            <color indexed="81"/>
            <rFont val="Tahoma"/>
            <family val="2"/>
          </rPr>
          <t>If shaded red, Total</t>
        </r>
        <r>
          <rPr>
            <b/>
            <sz val="9"/>
            <color indexed="81"/>
            <rFont val="Tahoma"/>
            <family val="2"/>
          </rPr>
          <t xml:space="preserve"> </t>
        </r>
        <r>
          <rPr>
            <sz val="9"/>
            <color indexed="81"/>
            <rFont val="Tahoma"/>
            <family val="2"/>
          </rPr>
          <t xml:space="preserve">Number Units is greater than 20 and Total Number of HHC Assisted Units exceeds the maximum allowable </t>
        </r>
      </text>
    </comment>
    <comment ref="D11" authorId="0" shapeId="0">
      <text>
        <r>
          <rPr>
            <sz val="9"/>
            <color indexed="81"/>
            <rFont val="Tahoma"/>
            <family val="2"/>
          </rPr>
          <t xml:space="preserve">HHC Assisted Units divided by Total Units less Manager Units.
</t>
        </r>
      </text>
    </comment>
    <comment ref="A13" authorId="2" shapeId="0">
      <text>
        <r>
          <rPr>
            <sz val="9"/>
            <color indexed="81"/>
            <rFont val="Tahoma"/>
            <family val="2"/>
          </rPr>
          <t>Aka rent subsidies. Calculated as the contract rent amount minus the restricted amount -- actual subsidies will likely be greater</t>
        </r>
      </text>
    </comment>
    <comment ref="B14" authorId="3" shapeId="0">
      <text>
        <r>
          <rPr>
            <sz val="9"/>
            <color indexed="81"/>
            <rFont val="Tahoma"/>
            <family val="2"/>
          </rPr>
          <t xml:space="preserve">An alternative proration % may be entered in the cell at right. If a different proration is used, explain the rational for proration in yellow comments box below. If amounts in Year 1 through 15 are manually entered, explain rational in yellow comments box below.
</t>
        </r>
      </text>
    </comment>
    <comment ref="B15" authorId="3" shapeId="0">
      <text>
        <r>
          <rPr>
            <sz val="9"/>
            <color indexed="81"/>
            <rFont val="Tahoma"/>
            <family val="2"/>
          </rPr>
          <t xml:space="preserve">An alternative proration % may be entered in the cell at right. If a different proration is used, explain the rational for proration in yellow comments box below. If amounts in Year 1 through 15 are manually entered, explain rational in yellow comments box below.
</t>
        </r>
      </text>
    </comment>
    <comment ref="A16" authorId="3" shapeId="0">
      <text>
        <r>
          <rPr>
            <sz val="9"/>
            <color indexed="81"/>
            <rFont val="Tahoma"/>
            <family val="2"/>
          </rPr>
          <t xml:space="preserve">An alternative proration % may be entered in the cell at right. If a different proration is used, explain the rational for proration in yellow comments box below. If amounts in Year 1 through 20 are manually entered, explain rational in yellow comments box below.
</t>
        </r>
      </text>
    </comment>
    <comment ref="A17" authorId="3" shapeId="0">
      <text>
        <r>
          <rPr>
            <sz val="9"/>
            <color indexed="81"/>
            <rFont val="Tahoma"/>
            <family val="2"/>
          </rPr>
          <t xml:space="preserve">An alternative proration % may be entered in the cell at right. If a different proration is used, explain the rational for proration in yellow comments box below. If amounts in Year 1 through 15 are manually entered, explain rational in yellow comments box below.
</t>
        </r>
      </text>
    </comment>
    <comment ref="A22" authorId="4" shapeId="0">
      <text>
        <r>
          <rPr>
            <sz val="9"/>
            <color indexed="81"/>
            <rFont val="Tahoma"/>
            <family val="2"/>
          </rPr>
          <t>Garage &amp; Parking Spaces and Other Miscellaneous Rent Revenue</t>
        </r>
      </text>
    </comment>
    <comment ref="F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G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H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I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J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K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L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M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N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O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P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Q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R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S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T27" authorId="0" shapeId="0">
      <text>
        <r>
          <rPr>
            <b/>
            <sz val="9"/>
            <color indexed="81"/>
            <rFont val="Tahoma"/>
            <family val="2"/>
          </rPr>
          <t xml:space="preserve">Per §108(d)(2)
</t>
        </r>
        <r>
          <rPr>
            <sz val="9"/>
            <color indexed="81"/>
            <rFont val="Tahoma"/>
            <family val="2"/>
          </rPr>
          <t xml:space="preserve">The stabilized residential vacancy rate for the Assisted Units shall be assumed to be 10 percent, unless use of a lower or higher rate is required by another funding source, including TCAC, or is supported by compelling market or other evidence.
</t>
        </r>
      </text>
    </comment>
    <comment ref="A43" authorId="0" shapeId="0">
      <text>
        <r>
          <rPr>
            <sz val="9"/>
            <color indexed="81"/>
            <rFont val="Tahoma"/>
            <family val="2"/>
          </rPr>
          <t xml:space="preserve">If amount is </t>
        </r>
        <r>
          <rPr>
            <b/>
            <i/>
            <sz val="9"/>
            <color indexed="81"/>
            <rFont val="Tahoma"/>
            <family val="2"/>
          </rPr>
          <t>bold font and italic</t>
        </r>
        <r>
          <rPr>
            <sz val="9"/>
            <color indexed="81"/>
            <rFont val="Tahoma"/>
            <family val="2"/>
          </rPr>
          <t xml:space="preserve"> indicates payment equal maximum per year based on 5% of COSR.
</t>
        </r>
      </text>
    </comment>
    <comment ref="A46" authorId="0" shapeId="0">
      <text>
        <r>
          <rPr>
            <sz val="9"/>
            <color indexed="81"/>
            <rFont val="Tahoma"/>
            <family val="2"/>
          </rPr>
          <t xml:space="preserve">If amount is </t>
        </r>
        <r>
          <rPr>
            <sz val="9"/>
            <color indexed="39"/>
            <rFont val="Tahoma"/>
            <family val="2"/>
          </rPr>
          <t>blue font</t>
        </r>
        <r>
          <rPr>
            <sz val="9"/>
            <color indexed="81"/>
            <rFont val="Tahoma"/>
            <family val="2"/>
          </rPr>
          <t xml:space="preserve">, payment exceeds maximum per year based on 5% of COSR. If amount is </t>
        </r>
        <r>
          <rPr>
            <b/>
            <i/>
            <sz val="9"/>
            <color indexed="12"/>
            <rFont val="Tahoma"/>
            <family val="2"/>
          </rPr>
          <t>bold and italic blue font</t>
        </r>
        <r>
          <rPr>
            <sz val="9"/>
            <color indexed="81"/>
            <rFont val="Tahoma"/>
            <family val="2"/>
          </rPr>
          <t xml:space="preserve"> indicates payment equal maximum per year based on 7% of COSR.</t>
        </r>
      </text>
    </comment>
  </commentList>
</comments>
</file>

<file path=xl/comments18.xml><?xml version="1.0" encoding="utf-8"?>
<comments xmlns="http://schemas.openxmlformats.org/spreadsheetml/2006/main">
  <authors>
    <author>Denise Cabelera</author>
  </authors>
  <commentList>
    <comment ref="A4" authorId="0" shapeId="0">
      <text>
        <r>
          <rPr>
            <sz val="8"/>
            <color indexed="81"/>
            <rFont val="Tahoma"/>
            <family val="2"/>
          </rPr>
          <t>&lt;[Deals 001  Project Description - Send]&gt;</t>
        </r>
      </text>
    </comment>
  </commentList>
</comments>
</file>

<file path=xl/comments19.xml><?xml version="1.0" encoding="utf-8"?>
<comments xmlns="http://schemas.openxmlformats.org/spreadsheetml/2006/main">
  <authors>
    <author>Russ Schmunk</author>
  </authors>
  <commentList>
    <comment ref="AB3" authorId="0" shapeId="0">
      <text>
        <r>
          <rPr>
            <sz val="8"/>
            <color indexed="8"/>
            <rFont val="Tahoma"/>
            <family val="2"/>
          </rPr>
          <t>Lessee pays rent + taxes, insurance, utilities, etc.</t>
        </r>
      </text>
    </comment>
  </commentList>
</comments>
</file>

<file path=xl/comments20.xml><?xml version="1.0" encoding="utf-8"?>
<comments xmlns="http://schemas.openxmlformats.org/spreadsheetml/2006/main">
  <authors>
    <author>Denise Cabelera</author>
  </authors>
  <commentList>
    <comment ref="C3" authorId="0" shapeId="0">
      <text>
        <r>
          <rPr>
            <sz val="8"/>
            <color indexed="81"/>
            <rFont val="Tahoma"/>
            <family val="2"/>
          </rPr>
          <t>&lt;[Deals 001 Deal Entities - Applicant 001  Contact Name - Send]&gt;</t>
        </r>
      </text>
    </comment>
    <comment ref="C5" authorId="0" shapeId="0">
      <text>
        <r>
          <rPr>
            <sz val="8"/>
            <color indexed="81"/>
            <rFont val="Tahoma"/>
            <family val="2"/>
          </rPr>
          <t>&lt;[Deals 001 Deal Entities - Borrowing Entity 001  Deal Contact Name - Send]&gt;</t>
        </r>
      </text>
    </comment>
    <comment ref="C6" authorId="0" shapeId="0">
      <text>
        <r>
          <rPr>
            <sz val="8"/>
            <color indexed="81"/>
            <rFont val="Tahoma"/>
            <family val="2"/>
          </rPr>
          <t>&lt;[Deals 001 Deal Entities - Borrowers Affiliate 001  Deal Contact Name - Send]&gt;</t>
        </r>
      </text>
    </comment>
    <comment ref="C7" authorId="0" shapeId="0">
      <text>
        <r>
          <rPr>
            <sz val="8"/>
            <color indexed="81"/>
            <rFont val="Tahoma"/>
            <family val="2"/>
          </rPr>
          <t>&lt;[Deals 001 Deal Entities - Borrowers Affiliate 002  Deal Contact Name - Send]&gt;</t>
        </r>
      </text>
    </comment>
    <comment ref="C8" authorId="0" shapeId="0">
      <text>
        <r>
          <rPr>
            <sz val="8"/>
            <color indexed="81"/>
            <rFont val="Tahoma"/>
            <family val="2"/>
          </rPr>
          <t>&lt;[Deals 001 Deal Entities - Borrowers Affiliate 003  Deal Contact Name - Send]&gt;</t>
        </r>
      </text>
    </comment>
    <comment ref="C9" authorId="0" shapeId="0">
      <text>
        <r>
          <rPr>
            <sz val="8"/>
            <color indexed="81"/>
            <rFont val="Tahoma"/>
            <family val="2"/>
          </rPr>
          <t>&lt;[Deals 001 Deal Entities - Sponsor 001  Deal Contact Name - Send]&gt;</t>
        </r>
      </text>
    </comment>
    <comment ref="C10" authorId="0" shapeId="0">
      <text>
        <r>
          <rPr>
            <sz val="8"/>
            <color indexed="81"/>
            <rFont val="Tahoma"/>
            <family val="2"/>
          </rPr>
          <t>&lt;[Deals 001 Deal Entities - Sponsor 002  Deal Contact Name - Send]&gt;</t>
        </r>
      </text>
    </comment>
    <comment ref="C12" authorId="0" shapeId="0">
      <text>
        <r>
          <rPr>
            <sz val="8"/>
            <color indexed="81"/>
            <rFont val="Tahoma"/>
            <family val="2"/>
          </rPr>
          <t>&lt;[Deals 001 Deal Entities - Property Management Firm 001  Deal Contact Name - Send]&gt;</t>
        </r>
      </text>
    </comment>
    <comment ref="C13" authorId="0" shapeId="0">
      <text>
        <r>
          <rPr>
            <sz val="8"/>
            <color indexed="81"/>
            <rFont val="Tahoma"/>
            <family val="2"/>
          </rPr>
          <t>&lt;[Deals 001 Deal Entities - Consultant - Financial 001  Deal Contact Name - Send]&gt;</t>
        </r>
      </text>
    </comment>
    <comment ref="C14" authorId="0" shapeId="0">
      <text>
        <r>
          <rPr>
            <sz val="8"/>
            <color indexed="81"/>
            <rFont val="Tahoma"/>
            <family val="2"/>
          </rPr>
          <t>&lt;[Deals 001 Deal Entities - Service Provider 001  Deal Contact Name - Send]&gt;</t>
        </r>
      </text>
    </comment>
    <comment ref="C15" authorId="0" shapeId="0">
      <text>
        <r>
          <rPr>
            <sz val="8"/>
            <color indexed="81"/>
            <rFont val="Tahoma"/>
            <family val="2"/>
          </rPr>
          <t>&lt;[Deals 001 Deal Entities - Legal Counsel - Borrower's 001  Deal Contact Name - Send]&gt;</t>
        </r>
      </text>
    </comment>
    <comment ref="C16" authorId="0" shapeId="0">
      <text>
        <r>
          <rPr>
            <sz val="8"/>
            <color indexed="81"/>
            <rFont val="Tahoma"/>
            <family val="2"/>
          </rPr>
          <t>&lt;[Deals 001 Deal Entities - Legal Counsel - Bond Counsel 001  Deal Contact Name - Send]&gt;</t>
        </r>
      </text>
    </comment>
    <comment ref="C21" authorId="0" shapeId="0">
      <text>
        <r>
          <rPr>
            <sz val="8"/>
            <color indexed="81"/>
            <rFont val="Tahoma"/>
            <family val="2"/>
          </rPr>
          <t>&lt;[Deals 001 Deal Entities - Tax Credit Investor 001  Deal Contact Name - Send]&gt;</t>
        </r>
      </text>
    </comment>
    <comment ref="C22" authorId="0" shapeId="0">
      <text>
        <r>
          <rPr>
            <sz val="8"/>
            <color indexed="81"/>
            <rFont val="Tahoma"/>
            <family val="2"/>
          </rPr>
          <t>&lt;[Deals 001 Deal Entities - General Contractor 001  Deal Contact Name - Send]&gt;</t>
        </r>
      </text>
    </comment>
    <comment ref="C23" authorId="0" shapeId="0">
      <text>
        <r>
          <rPr>
            <sz val="8"/>
            <color indexed="81"/>
            <rFont val="Tahoma"/>
            <family val="2"/>
          </rPr>
          <t>&lt;[Deals 001 Deal Entities - Architect 001  Deal Contact Name - Send]&gt;</t>
        </r>
      </text>
    </comment>
  </commentList>
</comments>
</file>

<file path=xl/sharedStrings.xml><?xml version="1.0" encoding="utf-8"?>
<sst xmlns="http://schemas.openxmlformats.org/spreadsheetml/2006/main" count="2663" uniqueCount="1688">
  <si>
    <t xml:space="preserve">In addition to this application form, each agency requires submission of program-specific documentation.  Please review the checklists and instructions applicable to each program, located in each agencies website for specific requirements. </t>
  </si>
  <si>
    <t xml:space="preserve">Describe any mandatory
charges to tenants
beyond allowable rents.  </t>
  </si>
  <si>
    <t>Transit Oriented Develop.</t>
  </si>
  <si>
    <t>HOME - Home Inv. Part.</t>
  </si>
  <si>
    <t>No - one legal parcel</t>
  </si>
  <si>
    <t>Yes - contiguous</t>
  </si>
  <si>
    <t>Yes - noncontiguous</t>
  </si>
  <si>
    <t>Joe Serna, Jr. Farmworker</t>
  </si>
  <si>
    <t>MHP - General</t>
  </si>
  <si>
    <t>MHP - Supportive Housing</t>
  </si>
  <si>
    <t>Email</t>
  </si>
  <si>
    <t>Phone</t>
  </si>
  <si>
    <t>Contact</t>
  </si>
  <si>
    <t>Department Program</t>
  </si>
  <si>
    <t>California Housing Finance Agency (CalHFA)</t>
  </si>
  <si>
    <t>If you have technical issues specific to this application form, please contact the following Departmental staff:</t>
  </si>
  <si>
    <r>
      <t xml:space="preserve">Enter below any </t>
    </r>
    <r>
      <rPr>
        <b/>
        <sz val="10"/>
        <rFont val="Arial"/>
        <family val="2"/>
      </rPr>
      <t xml:space="preserve">rent </t>
    </r>
    <r>
      <rPr>
        <sz val="10"/>
        <rFont val="Arial"/>
        <family val="2"/>
      </rPr>
      <t>limits that are both the most restrictive and that are required by sources other than tax credits,</t>
    </r>
  </si>
  <si>
    <t>Year 33</t>
  </si>
  <si>
    <t>Year 34</t>
  </si>
  <si>
    <t>Year 35</t>
  </si>
  <si>
    <t>Year 36</t>
  </si>
  <si>
    <t>Year 37</t>
  </si>
  <si>
    <t>Year 38</t>
  </si>
  <si>
    <t>Year 39</t>
  </si>
  <si>
    <t>Year 40</t>
  </si>
  <si>
    <t>OTHER INCOME</t>
  </si>
  <si>
    <t xml:space="preserve">Other Income    </t>
  </si>
  <si>
    <t>Commercial Income</t>
  </si>
  <si>
    <t xml:space="preserve">VACANCY ASSUMPTIONS </t>
  </si>
  <si>
    <t xml:space="preserve">Commercial Income </t>
  </si>
  <si>
    <t>Monthly Income at Maximum Rents</t>
  </si>
  <si>
    <t>Areas intended for applicant entry are shaded in yellow. Instructions are included as Excel comments, such as the one to the right.  To view these comments, hold your mouse over the red marks.</t>
  </si>
  <si>
    <t>Prior Application #</t>
  </si>
  <si>
    <t>Administrative General Partner of Owner</t>
  </si>
  <si>
    <t>Restricted Unit  Rents</t>
  </si>
  <si>
    <t>Subsidy Payment Over  Net Rent</t>
  </si>
  <si>
    <t>GENERAL INFORMATION</t>
  </si>
  <si>
    <t>SITE &amp; UNIT INFORMATION</t>
  </si>
  <si>
    <t>MISCELLANEOUS INFORMATION</t>
  </si>
  <si>
    <t>RENTS &amp; UNIT MIX INFORMATION</t>
  </si>
  <si>
    <t>SUBSIDY INFORMATION</t>
  </si>
  <si>
    <t>Sponsor Distributions</t>
  </si>
  <si>
    <t>HCD Residual Payment</t>
  </si>
  <si>
    <t>Deferred Developer Fee prior to</t>
  </si>
  <si>
    <t>ANNUAL INCOME AND EXPENSES</t>
  </si>
  <si>
    <t>Without  RE Taxes, Social Services Coordinator or Social 
   Services/Social Programs and With the Value of Rent Fee Units 
   Included</t>
  </si>
  <si>
    <t>CASH FLOW ANALYSIS</t>
  </si>
  <si>
    <t>Restricted Unit Rents</t>
  </si>
  <si>
    <t>Unrestricted Unit Rents</t>
  </si>
  <si>
    <t xml:space="preserve">  </t>
  </si>
  <si>
    <t>Conversion</t>
  </si>
  <si>
    <t>Construction</t>
  </si>
  <si>
    <t>Permanent</t>
  </si>
  <si>
    <t xml:space="preserve">Vacancy Rate:  Laundry &amp; Vending &amp; Other Income  </t>
  </si>
  <si>
    <t>HUD 811 Project?</t>
  </si>
  <si>
    <t>CalHFA Application Type</t>
  </si>
  <si>
    <t xml:space="preserve">Federal Minimum Set-a-Side </t>
  </si>
  <si>
    <t>Shared Housing</t>
  </si>
  <si>
    <t>Annual Payment Amount</t>
  </si>
  <si>
    <t>Service Office</t>
  </si>
  <si>
    <t xml:space="preserve">Incremental Income from 
Rent/Operating Subsidy </t>
  </si>
  <si>
    <t xml:space="preserve">CTCAC </t>
  </si>
  <si>
    <t>CTCAC Housing Type</t>
  </si>
  <si>
    <t xml:space="preserve">CTCAC Application Type: </t>
  </si>
  <si>
    <t>CTCAC Geographical Area</t>
  </si>
  <si>
    <t>For CTCAC Use Only</t>
  </si>
  <si>
    <t>If Reapplication, Previous CTCAC No.:</t>
  </si>
  <si>
    <t>Use this application form to apply for assistance for a multifamily rental housing development from CTCAC, CalHFA, HCD or CDLAC.  A separate submission is required for each agency; please indicate which agency you are currently applying to in the top section of the next sheet, and revise this section for subsequent applications to other agencies.  Also, please update the rest of the application to reflect changes in your development proposal.</t>
  </si>
  <si>
    <t xml:space="preserve">CTCAC, CDLAC, MHP and CalHFA rent limits are calculated based on the above income limits, and are automatically </t>
  </si>
  <si>
    <r>
      <t xml:space="preserve">California State Treasurer:
   </t>
    </r>
    <r>
      <rPr>
        <b/>
        <sz val="9"/>
        <rFont val="Arial"/>
        <family val="2"/>
      </rPr>
      <t>California Debt Limit Allocation Committee (CDLAC)</t>
    </r>
  </si>
  <si>
    <r>
      <t xml:space="preserve">California State Treasurer:
   </t>
    </r>
    <r>
      <rPr>
        <b/>
        <sz val="9"/>
        <rFont val="Arial"/>
        <family val="2"/>
      </rPr>
      <t>California Tax Credit Allocation Committee (CTCAC)</t>
    </r>
  </si>
  <si>
    <t>Some information carries over from one section to the next.  If you start from the beginning "General" worksheet and continue in order, you will minimize error messages.</t>
  </si>
  <si>
    <t xml:space="preserve">(Assumes  1 person in 0-bedroom, 2 people in a 1 bdrm and 1 additional person per addn'l bedroom) </t>
  </si>
  <si>
    <t>Is tax-exempt financing needed for construction?</t>
  </si>
  <si>
    <t>Lessor</t>
  </si>
  <si>
    <t>Current Owner Address</t>
  </si>
  <si>
    <t>San Bernardino</t>
  </si>
  <si>
    <t>GA</t>
  </si>
  <si>
    <t>AK</t>
  </si>
  <si>
    <t>AL</t>
  </si>
  <si>
    <t>AR</t>
  </si>
  <si>
    <t>AZ</t>
  </si>
  <si>
    <t>CA</t>
  </si>
  <si>
    <t>CO</t>
  </si>
  <si>
    <t>CT</t>
  </si>
  <si>
    <t>DC</t>
  </si>
  <si>
    <t>DE</t>
  </si>
  <si>
    <t>FL</t>
  </si>
  <si>
    <t>HI</t>
  </si>
  <si>
    <t>IA</t>
  </si>
  <si>
    <t>ID</t>
  </si>
  <si>
    <t>IL</t>
  </si>
  <si>
    <t>IN</t>
  </si>
  <si>
    <t>KS</t>
  </si>
  <si>
    <t>KY</t>
  </si>
  <si>
    <t>LA</t>
  </si>
  <si>
    <t>MA</t>
  </si>
  <si>
    <t>MD</t>
  </si>
  <si>
    <t>ME</t>
  </si>
  <si>
    <t>MI</t>
  </si>
  <si>
    <t>MN</t>
  </si>
  <si>
    <t>MO</t>
  </si>
  <si>
    <t>MS</t>
  </si>
  <si>
    <t>MT</t>
  </si>
  <si>
    <t>NC</t>
  </si>
  <si>
    <t>ND</t>
  </si>
  <si>
    <t>NE</t>
  </si>
  <si>
    <t>NH</t>
  </si>
  <si>
    <t>NJ</t>
  </si>
  <si>
    <t>NM</t>
  </si>
  <si>
    <t>NV</t>
  </si>
  <si>
    <t>NY</t>
  </si>
  <si>
    <t>OH</t>
  </si>
  <si>
    <t>OK</t>
  </si>
  <si>
    <t>OR</t>
  </si>
  <si>
    <t>PA</t>
  </si>
  <si>
    <t>RI</t>
  </si>
  <si>
    <t>SC</t>
  </si>
  <si>
    <t>SD</t>
  </si>
  <si>
    <t>TN</t>
  </si>
  <si>
    <t>TX</t>
  </si>
  <si>
    <t>UT</t>
  </si>
  <si>
    <t>VA</t>
  </si>
  <si>
    <t>VT</t>
  </si>
  <si>
    <t>WA</t>
  </si>
  <si>
    <t>WI</t>
  </si>
  <si>
    <t>WV</t>
  </si>
  <si>
    <t>WY</t>
  </si>
  <si>
    <t>Contact Type</t>
  </si>
  <si>
    <t>Entity or Deal Entity</t>
  </si>
  <si>
    <t>Deal Entity</t>
  </si>
  <si>
    <t>Mapping for SmartDocs Deal Entity Names</t>
  </si>
  <si>
    <t>Entity</t>
  </si>
  <si>
    <t>Owner/Borrower</t>
  </si>
  <si>
    <t xml:space="preserve">EFFECTIVE GROSS INCOME </t>
  </si>
  <si>
    <t>Replacement Reserve</t>
  </si>
  <si>
    <t xml:space="preserve">NET OPERATING INCOME </t>
  </si>
  <si>
    <t>DEBT SERVICE</t>
  </si>
  <si>
    <t>1st Mortgage</t>
  </si>
  <si>
    <t>2nd Mortgage</t>
  </si>
  <si>
    <t>Cash flow after CalHFA debt service</t>
  </si>
  <si>
    <t>DCR for just CalHFA loans</t>
  </si>
  <si>
    <t>CASH FLOW after all debt service</t>
  </si>
  <si>
    <t>FORM OF ENTITY</t>
  </si>
  <si>
    <t>Less Utility Allowance</t>
  </si>
  <si>
    <t>0 Bdrm.</t>
  </si>
  <si>
    <t>1 Bdrm.</t>
  </si>
  <si>
    <t>2 Bdrm.</t>
  </si>
  <si>
    <t>3 Bdrm.</t>
  </si>
  <si>
    <t>4 Bdrm.</t>
  </si>
  <si>
    <t>5 Bdrm.</t>
  </si>
  <si>
    <t>Managing General Partner of Owner</t>
  </si>
  <si>
    <t>General Partner of Owner</t>
  </si>
  <si>
    <t>Managing Member</t>
  </si>
  <si>
    <t>Equity Investor</t>
  </si>
  <si>
    <t xml:space="preserve">shown below.  If the most restrictive rent limits applicable to some units are required by another program, such as </t>
  </si>
  <si>
    <t xml:space="preserve">HOME or USDA Rural Development, </t>
  </si>
  <si>
    <t>After you are done, complete the table above.</t>
  </si>
  <si>
    <t>(Or scroll to bottom of worksheeet)</t>
  </si>
  <si>
    <t xml:space="preserve">click here </t>
  </si>
  <si>
    <t>to enter these limits.</t>
  </si>
  <si>
    <t xml:space="preserve">Unit </t>
  </si>
  <si>
    <t>Size</t>
  </si>
  <si>
    <t>Restricted  Units by Unit Size</t>
  </si>
  <si>
    <t xml:space="preserve">Restricted </t>
  </si>
  <si>
    <t>Total:</t>
  </si>
  <si>
    <t xml:space="preserve">Count free rent as an </t>
  </si>
  <si>
    <t>expense?</t>
  </si>
  <si>
    <t xml:space="preserve">Show free rent as an </t>
  </si>
  <si>
    <t>grodine@hcd.ca.gov</t>
  </si>
  <si>
    <t>Christina DiFrancesco</t>
  </si>
  <si>
    <t>George Rodine</t>
  </si>
  <si>
    <t>Marisa Fogal</t>
  </si>
  <si>
    <t>mfogal@calhfa.ca.gov</t>
  </si>
  <si>
    <t>Misty Armstrong</t>
  </si>
  <si>
    <t>marmstrong@treasurer.ca.gov</t>
  </si>
  <si>
    <t>Without any Adjustments</t>
  </si>
  <si>
    <t>With the Value of Rent-Free Units Included</t>
  </si>
  <si>
    <t>Contracts</t>
  </si>
  <si>
    <t xml:space="preserve">Unit Size </t>
  </si>
  <si>
    <t>Name of HCD Funding</t>
  </si>
  <si>
    <t>HOME Funds</t>
  </si>
  <si>
    <t>HOME Activity Amount</t>
  </si>
  <si>
    <t>HOME Admin. Amount</t>
  </si>
  <si>
    <t xml:space="preserve">HOME Activity Delivery </t>
  </si>
  <si>
    <t>GROUND LEASE</t>
  </si>
  <si>
    <t>TOTAL GROUND LEASE</t>
  </si>
  <si>
    <t>Instruction:  Describe, at a minimum: 1) type of development, 2) topography and special site features, 3)  the surrounding neighborhood, 4) proposed tenant population and any special occupancy restrictions, including those tied to land use approvals, 5)  any on-site services, 6) specific issues e.g., relocation, environmental, historical, etc., 7) any demolition, 8) scope of rehabilitation work, 9) expected start and completion date of construction/rehabilitation, 10) changes in land area during development (e.g. subsidivision), 11) rent subsidies, and 12) whether prevailing wages will be paid.</t>
  </si>
  <si>
    <t>PROPOSED PROJECT DESCRIPTION 
(Narrative used for Project Summary Reports)</t>
  </si>
  <si>
    <t>Financial Consultant</t>
  </si>
  <si>
    <t>Primary Service Provider</t>
  </si>
  <si>
    <t>Detached</t>
  </si>
  <si>
    <t>Household Size:</t>
  </si>
  <si>
    <t>Income Limit:</t>
  </si>
  <si>
    <t>TCAC/CDLAC/MHP/CalHFA Income Limits Calculated from HUD 50% Income Limits</t>
  </si>
  <si>
    <t>Gross Monthly Contract Rent</t>
  </si>
  <si>
    <t>Units Subsidized</t>
  </si>
  <si>
    <t xml:space="preserve">Maximum Gross Rent </t>
  </si>
  <si>
    <t>Total Units Subsidized</t>
  </si>
  <si>
    <t>Total Monthly Subsidy</t>
  </si>
  <si>
    <t xml:space="preserve">Subsidy Program Name: </t>
  </si>
  <si>
    <t>Income and Rent Calculation Tables</t>
  </si>
  <si>
    <t>INCOME FROM HOUSING UNITS</t>
  </si>
  <si>
    <t>Income from Restricted Units based on:</t>
  </si>
  <si>
    <t>Proposed Rents</t>
  </si>
  <si>
    <t>Program:</t>
  </si>
  <si>
    <t>Inflation</t>
  </si>
  <si>
    <t xml:space="preserve">Subtotal  </t>
  </si>
  <si>
    <t>Monthly Rental Income from Restricted Units</t>
  </si>
  <si>
    <t>DEBT SERVICE COVERAGE RATIO</t>
  </si>
  <si>
    <t>Asset Mgmt./ Similar Fees</t>
  </si>
  <si>
    <t>Other Residual Payments</t>
  </si>
  <si>
    <t>TOTAL VACANCY LOSS</t>
  </si>
  <si>
    <t>Cash Available for Residual Receipts Loans</t>
  </si>
  <si>
    <t>Use of Cash Flow After Debt Service - HCD Projects</t>
  </si>
  <si>
    <t xml:space="preserve">Use of Available Cash Flow -- TRUE Changes Font Color of HCD Calculation </t>
  </si>
  <si>
    <t>Continuum of Care Process</t>
  </si>
  <si>
    <t>Applicant</t>
  </si>
  <si>
    <t>Individual(s)</t>
  </si>
  <si>
    <t>Applicant Notes</t>
  </si>
  <si>
    <t>Turnkey Developer</t>
  </si>
  <si>
    <t>1.  Has your community completed its Continuum of Care ranking process?</t>
  </si>
  <si>
    <t>3.  If you answered no to question number one, when will your community complete its Continuum of Care ranking process?</t>
  </si>
  <si>
    <t>Tax Credit Equity Investor</t>
  </si>
  <si>
    <t>General Contractor</t>
  </si>
  <si>
    <t>Subsidy Program Component:</t>
  </si>
  <si>
    <t>Date Application Submitted or 
    To be Submitted:</t>
  </si>
  <si>
    <t>Expected 1st Year Amount, 
    if not based on contract rents:</t>
  </si>
  <si>
    <t>Basis for Subsequent Amounts,   
    if not based on contract rents:</t>
  </si>
  <si>
    <t>Income Limit 
(% AMI)</t>
  </si>
  <si>
    <t>Partner or Member Role</t>
  </si>
  <si>
    <t>Architect</t>
  </si>
  <si>
    <t>Rental Subsidy?</t>
  </si>
  <si>
    <t>Name</t>
  </si>
  <si>
    <t>Parking Spaces for Commercial Tenants</t>
  </si>
  <si>
    <t>COMMERCIAL SPACE</t>
  </si>
  <si>
    <t>(included in totals above)</t>
  </si>
  <si>
    <t>Subtotal Parking Spaces</t>
  </si>
  <si>
    <t>Grand Total Parking Spaces</t>
  </si>
  <si>
    <t xml:space="preserve">Total Handicap Parking Spaces </t>
  </si>
  <si>
    <t>RESIDENTIAL SPACE</t>
  </si>
  <si>
    <t>Residential Square Footage</t>
  </si>
  <si>
    <t>Total Residential SF</t>
  </si>
  <si>
    <t>Total Commercial SF</t>
  </si>
  <si>
    <t>Uncovered Tenant Parking</t>
  </si>
  <si>
    <t>AMENITIES</t>
  </si>
  <si>
    <t>Number of Rental Spaces</t>
  </si>
  <si>
    <t>Restricted Units by Income Level</t>
  </si>
  <si>
    <t>Description of 
Other Rent Limits</t>
  </si>
  <si>
    <t>Supportive Housing Program, Section 8 Mod Rehab SRO, etc.), please complete the following:</t>
  </si>
  <si>
    <t>Below, describe property transfers occurring in connection with development of the Project</t>
  </si>
  <si>
    <t>2.  If you answered yes to question number one, is your Project ranked within the fundable range?</t>
  </si>
  <si>
    <t>List all Project-based or sponsor-based rent/operating subsidies in the bottom portion of this section, under the "Rent/Operating Subsidy Programs" heading.</t>
  </si>
  <si>
    <t>Gina Ferguson</t>
  </si>
  <si>
    <t>gferguson@treasurer.ca.gov</t>
  </si>
  <si>
    <t xml:space="preserve">The top part of this section  estimates incremental income from rent subsidy contracts, such as Section 8, above and beyond either 1) maximum restricted rents or 2) proposed rents.  Complete this part only if the Project will have a rent subsidy based on contract rents. </t>
  </si>
  <si>
    <t>Total Income from Other Leased Spaces</t>
  </si>
  <si>
    <t>Utilities</t>
  </si>
  <si>
    <t>Enter Allowances for Tenant Paid Utilities by Bdrm. Size</t>
  </si>
  <si>
    <r>
      <t>≥</t>
    </r>
    <r>
      <rPr>
        <b/>
        <i/>
        <sz val="10"/>
        <rFont val="Arial"/>
        <family val="2"/>
      </rPr>
      <t>5 bdrms</t>
    </r>
  </si>
  <si>
    <t>tenant pay utilities?</t>
  </si>
  <si>
    <t>Total Tenant Utility Allowance</t>
  </si>
  <si>
    <t>Source for Utility Allowances</t>
  </si>
  <si>
    <t>Effective Date</t>
  </si>
  <si>
    <t>Does the owner or</t>
  </si>
  <si>
    <t>1.</t>
  </si>
  <si>
    <t>2.</t>
  </si>
  <si>
    <t>3.</t>
  </si>
  <si>
    <t>4.</t>
  </si>
  <si>
    <t>5.</t>
  </si>
  <si>
    <t>6.</t>
  </si>
  <si>
    <t>Tot Lot or Playground</t>
  </si>
  <si>
    <t>HUD Notice Date:</t>
  </si>
  <si>
    <t>Monthly Income at Proposed Rents</t>
  </si>
  <si>
    <t>Other Rent Limits</t>
  </si>
  <si>
    <t>Unit Amenities/Features</t>
  </si>
  <si>
    <t>Project Amenities</t>
  </si>
  <si>
    <t>Bldg. Card Key</t>
  </si>
  <si>
    <t>Jacuzzi/Sauna</t>
  </si>
  <si>
    <t>Elevator(s)</t>
  </si>
  <si>
    <t>Laundry Rms.</t>
  </si>
  <si>
    <t>Picnic/BBQ Area(s)</t>
  </si>
  <si>
    <t>Subtotal</t>
  </si>
  <si>
    <t>Free Residential Parking Spaces</t>
  </si>
  <si>
    <t>Extra Spaces Tenants Can Rent</t>
  </si>
  <si>
    <t>Commercial Square Footage</t>
  </si>
  <si>
    <t>Baths</t>
  </si>
  <si>
    <t>Townhouse</t>
  </si>
  <si>
    <t>Demolition Planned?</t>
  </si>
  <si>
    <t>or Done?</t>
  </si>
  <si>
    <t>Layout</t>
  </si>
  <si>
    <t>Flat</t>
  </si>
  <si>
    <t>Miscellaneous Taxes, Licenses, Permits &amp; Insurance</t>
  </si>
  <si>
    <t>Other Insurance (e.g. Earthquake)</t>
  </si>
  <si>
    <t>TOTAL RESERVES</t>
  </si>
  <si>
    <t>Other Reserves: (specify)</t>
  </si>
  <si>
    <t>TOTAL OPERATING EXPENSES</t>
  </si>
  <si>
    <t>On-Site Leasing Agent/Administrative Employee(s)</t>
  </si>
  <si>
    <t>TOTAL FINANCIAL EXPENSES</t>
  </si>
  <si>
    <t>3rd Mortgage Debt Service</t>
  </si>
  <si>
    <t>Total Salaries and Value of Free Rent Units</t>
  </si>
  <si>
    <t xml:space="preserve">TCAC Application Type: </t>
  </si>
  <si>
    <t>TCAC Housing Type</t>
  </si>
  <si>
    <t>Total Square Footage</t>
  </si>
  <si>
    <t>Annual Operating Budget</t>
  </si>
  <si>
    <t xml:space="preserve">EXPENSES (continued) </t>
  </si>
  <si>
    <t>Miscellaneous Financial Expenses: (specify)</t>
  </si>
  <si>
    <t>Describe adjoining land uses within 300 feet of the Project</t>
  </si>
  <si>
    <t>Poor drainage</t>
  </si>
  <si>
    <t>Service Area</t>
  </si>
  <si>
    <t>Rent/Operating Subsidy Programs</t>
  </si>
  <si>
    <t xml:space="preserve">Incremental Income from Rent/Operating Subsidies Based on Contract Rents </t>
  </si>
  <si>
    <t>Erosion problems</t>
  </si>
  <si>
    <t xml:space="preserve">Unstable soil </t>
  </si>
  <si>
    <t>Retaining wall</t>
  </si>
  <si>
    <t>Possible lead paint</t>
  </si>
  <si>
    <t>Possible asbestos</t>
  </si>
  <si>
    <t>Household Size</t>
  </si>
  <si>
    <t xml:space="preserve">Income </t>
  </si>
  <si>
    <t>Level</t>
  </si>
  <si>
    <t>Commercial
Amount</t>
  </si>
  <si>
    <t>Loan Term
(months)</t>
  </si>
  <si>
    <t xml:space="preserve">Required
Payment </t>
  </si>
  <si>
    <t>Interest
Rate</t>
  </si>
  <si>
    <t>Unit Size (Bdrms)</t>
  </si>
  <si>
    <t xml:space="preserve">TCAC/CDLAC/MHP Rent Limits </t>
  </si>
  <si>
    <t xml:space="preserve">CalHFA 50% Rent Limits </t>
  </si>
  <si>
    <t>(Assumes 1 person in 0-bdrm unit, 1.5 people per bedroom in other units)</t>
  </si>
  <si>
    <t>Limit</t>
  </si>
  <si>
    <t>Rent Limit Calc. Formula</t>
  </si>
  <si>
    <t>Wetlands area</t>
  </si>
  <si>
    <t>On-site stream/creek</t>
  </si>
  <si>
    <t>Possible soil pollution</t>
  </si>
  <si>
    <t>Possible high noise levels</t>
  </si>
  <si>
    <t>Abandoned well(s)</t>
  </si>
  <si>
    <t>Railroad tracks within 100 yards</t>
  </si>
  <si>
    <t>Unusual ingress/egress</t>
  </si>
  <si>
    <t>Ground water contamination</t>
  </si>
  <si>
    <t>High water table</t>
  </si>
  <si>
    <t>Underground storage tanks</t>
  </si>
  <si>
    <t>Mgr. Units</t>
  </si>
  <si>
    <t>Site/Resident Manager(s) Salaries -- from above</t>
  </si>
  <si>
    <t>On-Site Manager(s)</t>
  </si>
  <si>
    <t>On-Site Assistant Manager(s)</t>
  </si>
  <si>
    <t>On-Site Maintenance Employee(s)</t>
  </si>
  <si>
    <t>On-Site Security Employee(s)</t>
  </si>
  <si>
    <t>TOTAL OPERATING &amp; MAINTENANCE EXPENSES</t>
  </si>
  <si>
    <t>Vehicle &amp; Maintenance Equipment Operation/Reports</t>
  </si>
  <si>
    <t>Miscellaneous Operating and Maintenance Expenses</t>
  </si>
  <si>
    <t>Operating &amp; Maintenance Free Rent Unit -- from above</t>
  </si>
  <si>
    <t>Security Free Rent Unit -- from above</t>
  </si>
  <si>
    <t>Unique Site Features</t>
  </si>
  <si>
    <t>Bldgs.</t>
  </si>
  <si>
    <t>Non-Residential Building(s)</t>
  </si>
  <si>
    <t>TOTALS</t>
  </si>
  <si>
    <t>Re-application, Credit awarded</t>
  </si>
  <si>
    <t>Amount of any prior</t>
  </si>
  <si>
    <t>If yes, amount needed</t>
  </si>
  <si>
    <t xml:space="preserve"> Acct. No.</t>
  </si>
  <si>
    <t>Square Footage</t>
  </si>
  <si>
    <t>REVENUE - INCOME</t>
  </si>
  <si>
    <t>Employee Job Title</t>
  </si>
  <si>
    <t>Annual Commercial Parking Income</t>
  </si>
  <si>
    <t>Annual Residential Parking Income</t>
  </si>
  <si>
    <t>Effective Gross Income (EGI)</t>
  </si>
  <si>
    <t>Vacancy Loss(es)</t>
  </si>
  <si>
    <t>UTILITIES EXPENSES: 6400</t>
  </si>
  <si>
    <t>TAXES AND INSURANCE: 6700</t>
  </si>
  <si>
    <t>FUNDED RESERVES: 7200</t>
  </si>
  <si>
    <t>FINANCIAL EXPENSES: 6800</t>
  </si>
  <si>
    <t>Administrative Free Rent Unit  -- from above</t>
  </si>
  <si>
    <t>Legal Expense -- Project</t>
  </si>
  <si>
    <t>Payroll -- from above</t>
  </si>
  <si>
    <t>Job Title(s) of Employee(s) Living On-Site</t>
  </si>
  <si>
    <t>Temp. &amp; Perm.</t>
  </si>
  <si>
    <t>Large Family/At-Risk Waiver</t>
  </si>
  <si>
    <t>Relocation Req'd.?</t>
  </si>
  <si>
    <t>Commercial Space?</t>
  </si>
  <si>
    <t>Total Survey &amp; Engineering</t>
  </si>
  <si>
    <t>Joint Powers Authority</t>
  </si>
  <si>
    <t xml:space="preserve">Acquisition </t>
  </si>
  <si>
    <t>Development Type</t>
  </si>
  <si>
    <t>Special Facility Type</t>
  </si>
  <si>
    <t>Federally "At Risk"?</t>
  </si>
  <si>
    <t>"At-Risk" expiration date</t>
  </si>
  <si>
    <t>Special Needs?</t>
  </si>
  <si>
    <t>At-Risk and In Rural Census Tract</t>
  </si>
  <si>
    <t>Re-application, Credit never awarded</t>
  </si>
  <si>
    <t>Amount of</t>
  </si>
  <si>
    <t>Taxable Tail (if any)</t>
  </si>
  <si>
    <t>APN(s)</t>
  </si>
  <si>
    <t>DEVELOPMENT OF AFFORDABLE RENTAL HOUSING</t>
  </si>
  <si>
    <t>Ave. Sq. Ft.</t>
  </si>
  <si>
    <t>Operating Subsidies</t>
  </si>
  <si>
    <t>Other Utilities: (specify)</t>
  </si>
  <si>
    <t>Non-profit Public Benefit Corporation</t>
  </si>
  <si>
    <t xml:space="preserve">  and Sponsor Distributions</t>
  </si>
  <si>
    <t xml:space="preserve">  to distributions and residual receipt payments</t>
  </si>
  <si>
    <t>Other: (specify)</t>
  </si>
  <si>
    <t>Laundry Hookups or Appliances in Units</t>
  </si>
  <si>
    <t>Unit Size</t>
  </si>
  <si>
    <t>Total Units</t>
  </si>
  <si>
    <t xml:space="preserve">If one or more of the subsidy programs listed above is part of your local Continuum of Care process (i.e., Shelter Plus Care, </t>
  </si>
  <si>
    <t>INSTRUCTIONS</t>
  </si>
  <si>
    <t>STATE OF CALIFORNIA</t>
  </si>
  <si>
    <t xml:space="preserve">UNIVERSAL APPLICATION FOR THE </t>
  </si>
  <si>
    <t>Preliminary Reservation</t>
  </si>
  <si>
    <t>Final Reservation</t>
  </si>
  <si>
    <t>Fed Min. Set</t>
  </si>
  <si>
    <t>Placed In Service</t>
  </si>
  <si>
    <t>20% at 50%</t>
  </si>
  <si>
    <t>40% at 60%</t>
  </si>
  <si>
    <t>State Set-Aside</t>
  </si>
  <si>
    <t>% of Restricted Units in</t>
  </si>
  <si>
    <t>this category</t>
  </si>
  <si>
    <t xml:space="preserve">% of </t>
  </si>
  <si>
    <t>Total Monthly Extra Income</t>
  </si>
  <si>
    <t>Monthly  Income Per Space</t>
  </si>
  <si>
    <t>Gross Rent Limits</t>
  </si>
  <si>
    <t>Total Required Debt Service</t>
  </si>
  <si>
    <t>Nonprofit Organization</t>
  </si>
  <si>
    <t xml:space="preserve">Check all that apply: </t>
  </si>
  <si>
    <t xml:space="preserve">Amount </t>
  </si>
  <si>
    <t>Tax-Exempt Bonds</t>
  </si>
  <si>
    <t xml:space="preserve">Multifamily Financing Programs: </t>
  </si>
  <si>
    <t>Nonprofit Homeless Apportionment</t>
  </si>
  <si>
    <t>Federal 9%</t>
  </si>
  <si>
    <t>Subsidy payment over net rent based on:</t>
  </si>
  <si>
    <t>Allocation Amount</t>
  </si>
  <si>
    <t>Rate</t>
  </si>
  <si>
    <t>Term</t>
  </si>
  <si>
    <t>Rural</t>
  </si>
  <si>
    <t xml:space="preserve">Federal 4% </t>
  </si>
  <si>
    <t>Predevelopment</t>
  </si>
  <si>
    <t xml:space="preserve"> </t>
  </si>
  <si>
    <t>Tenure Type</t>
  </si>
  <si>
    <t>Rural/RHS 514</t>
  </si>
  <si>
    <t>State Credits</t>
  </si>
  <si>
    <t xml:space="preserve">Permanent </t>
  </si>
  <si>
    <t>Large Family</t>
  </si>
  <si>
    <t>General</t>
  </si>
  <si>
    <t>Rehabilitation</t>
  </si>
  <si>
    <t>Transitional</t>
  </si>
  <si>
    <t>Single Room Occupancy</t>
  </si>
  <si>
    <t>Rural/RHS 515</t>
  </si>
  <si>
    <t xml:space="preserve">Construction </t>
  </si>
  <si>
    <t>At-Risk</t>
  </si>
  <si>
    <t>Rural/RHS 538</t>
  </si>
  <si>
    <t>Special Needs</t>
  </si>
  <si>
    <t>Small Development</t>
  </si>
  <si>
    <t>Unrestricted Units</t>
  </si>
  <si>
    <t xml:space="preserve">Bridge Loan </t>
  </si>
  <si>
    <t>Yes/No</t>
  </si>
  <si>
    <t>Seniors</t>
  </si>
  <si>
    <t>-</t>
  </si>
  <si>
    <t>Second Mortgage</t>
  </si>
  <si>
    <t>Yes</t>
  </si>
  <si>
    <t xml:space="preserve">State Set-a-Side </t>
  </si>
  <si>
    <t>No</t>
  </si>
  <si>
    <t>Mixed Income</t>
  </si>
  <si>
    <t>SRO</t>
  </si>
  <si>
    <t>Development  Type</t>
  </si>
  <si>
    <t xml:space="preserve">Occupancy </t>
  </si>
  <si>
    <t>Site address or location:</t>
  </si>
  <si>
    <r>
      <t xml:space="preserve">To navigate between worksheets (pages), click the tabs at the bottom of your screen, or right-click on the triangles to the left of the tabs.  To print the entire application at once, go to  </t>
    </r>
    <r>
      <rPr>
        <u/>
        <sz val="10"/>
        <rFont val="Arial"/>
        <family val="2"/>
      </rPr>
      <t>F</t>
    </r>
    <r>
      <rPr>
        <sz val="10"/>
        <rFont val="Arial"/>
        <family val="2"/>
      </rPr>
      <t xml:space="preserve">ile, </t>
    </r>
    <r>
      <rPr>
        <u/>
        <sz val="10"/>
        <rFont val="Arial"/>
        <family val="2"/>
      </rPr>
      <t>P</t>
    </r>
    <r>
      <rPr>
        <sz val="10"/>
        <rFont val="Arial"/>
        <family val="2"/>
      </rPr>
      <t xml:space="preserve">rint, then under the "Print what" heading select "Entire workbook."  </t>
    </r>
  </si>
  <si>
    <t>4) Proposed Tenant Population and Any Special Occupancy Restrictions (inc. those tied to land use approvals)</t>
  </si>
  <si>
    <t>1) Type of Development</t>
  </si>
  <si>
    <t>5) Any On-Site Services</t>
  </si>
  <si>
    <t>New Construction</t>
  </si>
  <si>
    <t>None</t>
  </si>
  <si>
    <t>Dormitory</t>
  </si>
  <si>
    <t>Public</t>
  </si>
  <si>
    <t>Acquisition/Rehabilitation</t>
  </si>
  <si>
    <t>Elderly over 55</t>
  </si>
  <si>
    <t>Congregate Care</t>
  </si>
  <si>
    <t>North</t>
  </si>
  <si>
    <t>DDA or Qualified Census Tract?</t>
  </si>
  <si>
    <t>Private</t>
  </si>
  <si>
    <t>New Const. &amp; Acq/Rehab</t>
  </si>
  <si>
    <t>Elderly over 62</t>
  </si>
  <si>
    <t xml:space="preserve">Group Home </t>
  </si>
  <si>
    <t>South</t>
  </si>
  <si>
    <t>CDLAC Allocations</t>
  </si>
  <si>
    <t>Rehabilitation Only</t>
  </si>
  <si>
    <t>Some Elderly - 55+</t>
  </si>
  <si>
    <t>Assisted Living</t>
  </si>
  <si>
    <t>Some Elderly - 62+</t>
  </si>
  <si>
    <t>Housing Co-op</t>
  </si>
  <si>
    <t>AssemblyDistrictCode</t>
  </si>
  <si>
    <t>CongressionalDistrictCode</t>
  </si>
  <si>
    <t>SenateDistrictCode</t>
  </si>
  <si>
    <t>Contacts</t>
  </si>
  <si>
    <t>Site &amp; Units</t>
  </si>
  <si>
    <t>Type of Utility-2</t>
  </si>
  <si>
    <t>Misc.</t>
  </si>
  <si>
    <t>Site &amp; Units
Rents</t>
  </si>
  <si>
    <t>Rents</t>
  </si>
  <si>
    <t>Required Payment</t>
  </si>
  <si>
    <t>Repayment Terms Type</t>
  </si>
  <si>
    <t>Dev Sources</t>
  </si>
  <si>
    <t>General
Site &amp; Units
Dev Sources</t>
  </si>
  <si>
    <t>2) Topography and Special Site Features</t>
  </si>
  <si>
    <t>3) Surrounding Neighborhood</t>
  </si>
  <si>
    <t>6) Specific Issues (relocation, environmental, historical, etc.)</t>
  </si>
  <si>
    <t>7) Any Demolition</t>
  </si>
  <si>
    <t>8) Scope of Rehabilitation Work</t>
  </si>
  <si>
    <t>9) Expected Start and Completion Date of Construction/Rehabilitation</t>
  </si>
  <si>
    <t>10) Changes in Land Area during Development (e.g. subsidivision)</t>
  </si>
  <si>
    <t>11) Rent Subsidies</t>
  </si>
  <si>
    <t xml:space="preserve"> 12) Whether Prevailing Wages will be paid.</t>
  </si>
  <si>
    <t>Orange County</t>
  </si>
  <si>
    <t>Students Only</t>
  </si>
  <si>
    <t xml:space="preserve">SRO </t>
  </si>
  <si>
    <t>Yet to be formed L.P.</t>
  </si>
  <si>
    <t>San Diego County</t>
  </si>
  <si>
    <t>Yet to be formed LLC</t>
  </si>
  <si>
    <t xml:space="preserve">PROPOSED DEVELOPMENT </t>
  </si>
  <si>
    <t>Limited Partnership</t>
  </si>
  <si>
    <t>Los Angeles County</t>
  </si>
  <si>
    <t>Proposed Name</t>
  </si>
  <si>
    <t>Street Address or Location(s)</t>
  </si>
  <si>
    <t xml:space="preserve">Zip Code </t>
  </si>
  <si>
    <t>Limited Liability Company</t>
  </si>
  <si>
    <t>Multiple Parcels?</t>
  </si>
  <si>
    <t>North and East Bay</t>
  </si>
  <si>
    <t>Inland Empire</t>
  </si>
  <si>
    <t>Office/Administrative Salaries -- from above</t>
  </si>
  <si>
    <t>Payroll Taxes (Project's Share) -- from above</t>
  </si>
  <si>
    <t>Worker's Compensation -- from above</t>
  </si>
  <si>
    <t>Health Insurance/Other Employee Benefits--from above</t>
  </si>
  <si>
    <t>THIS APPLICATION REQUESTS FINANCING OR AN ALLOCATION FROM THE FOLLOWING:</t>
  </si>
  <si>
    <t>CDLAC</t>
  </si>
  <si>
    <t>for this Project</t>
  </si>
  <si>
    <t>Application Type:</t>
  </si>
  <si>
    <t>Pre-Application</t>
  </si>
  <si>
    <t xml:space="preserve">Application </t>
  </si>
  <si>
    <t>Commitment</t>
  </si>
  <si>
    <t>Closing</t>
  </si>
  <si>
    <t>Project Site Area</t>
  </si>
  <si>
    <t>Legal Name of Organization</t>
  </si>
  <si>
    <t>Date of this Application or Update:</t>
  </si>
  <si>
    <t>Non-profit Corporation</t>
  </si>
  <si>
    <t>All Other</t>
  </si>
  <si>
    <t>Central</t>
  </si>
  <si>
    <t>Age Restrictions</t>
  </si>
  <si>
    <t>Census Tract(s)</t>
  </si>
  <si>
    <t xml:space="preserve">For-profit Corporation </t>
  </si>
  <si>
    <t>Coastal California</t>
  </si>
  <si>
    <t>Tribal Government</t>
  </si>
  <si>
    <t xml:space="preserve">Capital/Northern </t>
  </si>
  <si>
    <t>San Francisco County</t>
  </si>
  <si>
    <t>Units per Acre</t>
  </si>
  <si>
    <t>Public Agency</t>
  </si>
  <si>
    <t>San Mateo/Santa Clara</t>
  </si>
  <si>
    <t>Acres</t>
  </si>
  <si>
    <t>Per Acre</t>
  </si>
  <si>
    <t>Relocation Req'd?</t>
  </si>
  <si>
    <t>HOPE VI Project?</t>
  </si>
  <si>
    <t>Temporary Only</t>
  </si>
  <si>
    <t>Del Norte</t>
  </si>
  <si>
    <t>Applicant Role</t>
  </si>
  <si>
    <t>Project Sponsor / Developer</t>
  </si>
  <si>
    <t>County</t>
  </si>
  <si>
    <t>Alameda</t>
  </si>
  <si>
    <t>Alpine</t>
  </si>
  <si>
    <t>Amador</t>
  </si>
  <si>
    <t>Butte</t>
  </si>
  <si>
    <t>Calaveras</t>
  </si>
  <si>
    <t>Colusa</t>
  </si>
  <si>
    <t>Contra Costa</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</si>
  <si>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</si>
  <si>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</si>
  <si>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</si>
  <si>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</si>
  <si>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</si>
  <si>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</si>
  <si>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</si>
  <si>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</si>
  <si>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</si>
  <si>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</si>
  <si>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</si>
  <si>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</si>
  <si>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</si>
  <si>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</si>
  <si>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</si>
  <si>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</si>
  <si>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</si>
  <si>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</si>
  <si>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</si>
  <si>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</si>
  <si>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</si>
  <si>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</si>
  <si>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</si>
  <si>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</si>
  <si>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</si>
  <si>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</si>
  <si>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</si>
  <si>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Diego</t>
  </si>
  <si>
    <t>San Joaquin</t>
  </si>
  <si>
    <t>Bond Issuer</t>
  </si>
  <si>
    <t>Local Government HOME Applicant</t>
  </si>
  <si>
    <t>City</t>
  </si>
  <si>
    <t>Ultimate Owner (LP or LLC)</t>
  </si>
  <si>
    <t xml:space="preserve">Consultant </t>
  </si>
  <si>
    <t>General Partner</t>
  </si>
  <si>
    <t>Subsidy Program Name:</t>
  </si>
  <si>
    <t>Subsidy Currently in Place?</t>
  </si>
  <si>
    <t>Date Award Expected:</t>
  </si>
  <si>
    <t>Contract Term (Years):</t>
  </si>
  <si>
    <t>LEGISLATIVE INFORMATION</t>
  </si>
  <si>
    <t>Congressperson Name(s)</t>
  </si>
  <si>
    <t>District #</t>
  </si>
  <si>
    <t>State Senator Name(s)</t>
  </si>
  <si>
    <t xml:space="preserve">State Assembly Member Name(s) </t>
  </si>
  <si>
    <t>Interest Only</t>
  </si>
  <si>
    <t>Deferred</t>
  </si>
  <si>
    <t xml:space="preserve">Interest Rate Type </t>
  </si>
  <si>
    <t>FAM</t>
  </si>
  <si>
    <t>Fixed for Term</t>
  </si>
  <si>
    <t>AWC</t>
  </si>
  <si>
    <t>Fixed with Reset</t>
  </si>
  <si>
    <t>RR</t>
  </si>
  <si>
    <t>Fixed, then Variable</t>
  </si>
  <si>
    <t>DEF</t>
  </si>
  <si>
    <t>Variable</t>
  </si>
  <si>
    <t>Not Yet Known</t>
  </si>
  <si>
    <t>IO</t>
  </si>
  <si>
    <t>F2FL</t>
  </si>
  <si>
    <t>MHP</t>
  </si>
  <si>
    <t>SOURCES OF DEVELOPMENT FUNDS</t>
  </si>
  <si>
    <t>Type of Site Control</t>
  </si>
  <si>
    <t>Dated</t>
  </si>
  <si>
    <t>Expires</t>
  </si>
  <si>
    <t>Extensions Available</t>
  </si>
  <si>
    <t>Purchase Price</t>
  </si>
  <si>
    <t>Total Land Area</t>
  </si>
  <si>
    <t>acres</t>
  </si>
  <si>
    <t>Ground Lease Planned?</t>
  </si>
  <si>
    <t>SITE USE</t>
  </si>
  <si>
    <t>Current Use</t>
  </si>
  <si>
    <t>Is Site Improved?</t>
  </si>
  <si>
    <t>Year Improvements Built</t>
  </si>
  <si>
    <t>Rent Control?</t>
  </si>
  <si>
    <t>Access Road Maintenance</t>
  </si>
  <si>
    <t xml:space="preserve">SITE CONDITIONS AND ADJOINING LAND USES </t>
  </si>
  <si>
    <t>Grade 5-10%</t>
  </si>
  <si>
    <t>Grade over 10%</t>
  </si>
  <si>
    <t>West</t>
  </si>
  <si>
    <t>Airport within 2 miles</t>
  </si>
  <si>
    <t xml:space="preserve">East </t>
  </si>
  <si>
    <t>EXISTING VERSUS PROPOSED UNITS  (include manager's units)</t>
  </si>
  <si>
    <t>Total #</t>
  </si>
  <si>
    <t>Total  #</t>
  </si>
  <si>
    <t>Total # of</t>
  </si>
  <si>
    <t>Beds</t>
  </si>
  <si>
    <t>0 Bdrm</t>
  </si>
  <si>
    <t>1 Bdrm</t>
  </si>
  <si>
    <t>2 Bdrm</t>
  </si>
  <si>
    <t>3 Bdrm</t>
  </si>
  <si>
    <t>4 Bdrm</t>
  </si>
  <si>
    <t>5 Bdrm</t>
  </si>
  <si>
    <t>Units</t>
  </si>
  <si>
    <t>Bedrooms</t>
  </si>
  <si>
    <t>Buildings</t>
  </si>
  <si>
    <t>Parking Spaces</t>
  </si>
  <si>
    <t xml:space="preserve">EXISTING </t>
  </si>
  <si>
    <t>PROPOSED</t>
  </si>
  <si>
    <t>Townhouse/Row House</t>
  </si>
  <si>
    <t>One or Two Story Walk-Up</t>
  </si>
  <si>
    <t>Mid-Rise (3-5 stories)</t>
  </si>
  <si>
    <t>High-Rise (6+stories)</t>
  </si>
  <si>
    <t xml:space="preserve">Detached Single Family </t>
  </si>
  <si>
    <t>Duplex/4-Plex</t>
  </si>
  <si>
    <t>TCAC</t>
  </si>
  <si>
    <t>Security &amp; Other Charges</t>
  </si>
  <si>
    <t>Type of Utility</t>
  </si>
  <si>
    <t>Owner or Tenant paid utilities</t>
  </si>
  <si>
    <t>Air Conditioning</t>
  </si>
  <si>
    <t>Ceiling Fans</t>
  </si>
  <si>
    <t>Gated Site Entry</t>
  </si>
  <si>
    <t>Gas</t>
  </si>
  <si>
    <t>Owner</t>
  </si>
  <si>
    <t>Refrigerator</t>
  </si>
  <si>
    <t>Curtains/Blinds</t>
  </si>
  <si>
    <t>Electric</t>
  </si>
  <si>
    <t>Tenant</t>
  </si>
  <si>
    <t>Range</t>
  </si>
  <si>
    <t>Fireplace</t>
  </si>
  <si>
    <t>Washers</t>
  </si>
  <si>
    <t>Propane</t>
  </si>
  <si>
    <t>Well</t>
  </si>
  <si>
    <t>Microwave</t>
  </si>
  <si>
    <t xml:space="preserve">Emergency Call </t>
  </si>
  <si>
    <t>Dryers</t>
  </si>
  <si>
    <t>Security Patrol</t>
  </si>
  <si>
    <t>Solar</t>
  </si>
  <si>
    <t>Disposal</t>
  </si>
  <si>
    <t>Free Cable TV</t>
  </si>
  <si>
    <t xml:space="preserve">Community Room </t>
  </si>
  <si>
    <t>Dishwasher</t>
  </si>
  <si>
    <t xml:space="preserve">Lofts </t>
  </si>
  <si>
    <t>Community Kitchen</t>
  </si>
  <si>
    <t>Laundry</t>
  </si>
  <si>
    <t>Walk-In Closet</t>
  </si>
  <si>
    <t>Storage Area</t>
  </si>
  <si>
    <t>Computer Room</t>
  </si>
  <si>
    <t>Fenced Rear Yard</t>
  </si>
  <si>
    <t>Balcony</t>
  </si>
  <si>
    <t>High Speed Internet</t>
  </si>
  <si>
    <t xml:space="preserve">Patio </t>
  </si>
  <si>
    <t xml:space="preserve">Fitness Room </t>
  </si>
  <si>
    <t>Sports Court</t>
  </si>
  <si>
    <t>Tennis Court</t>
  </si>
  <si>
    <t>Pool</t>
  </si>
  <si>
    <t>RESIDENTIAL PARKING</t>
  </si>
  <si>
    <t>Residential Units</t>
  </si>
  <si>
    <t>Required
Residential
Debt Service</t>
  </si>
  <si>
    <t>Commerical
Amount</t>
  </si>
  <si>
    <t>Residential
Amount</t>
  </si>
  <si>
    <t>Tax Exempt
Amount</t>
  </si>
  <si>
    <t>Required
Commercial
Debt Service</t>
  </si>
  <si>
    <t>Lien
No.</t>
  </si>
  <si>
    <t>Due in (yrs)</t>
  </si>
  <si>
    <t>Commercial Area</t>
  </si>
  <si>
    <t>Community Room</t>
  </si>
  <si>
    <t>Covered Tenant Parking</t>
  </si>
  <si>
    <t xml:space="preserve">Offices </t>
  </si>
  <si>
    <t xml:space="preserve">Leasing Office </t>
  </si>
  <si>
    <t>Enclosed Tenant Parking</t>
  </si>
  <si>
    <t xml:space="preserve">Childcare Center </t>
  </si>
  <si>
    <t>Additional Storage Space</t>
  </si>
  <si>
    <t>Tenant Guest Spaces</t>
  </si>
  <si>
    <t>Storage Space</t>
  </si>
  <si>
    <t>Other</t>
  </si>
  <si>
    <t>Maintenance Shop</t>
  </si>
  <si>
    <t>Childcare Center</t>
  </si>
  <si>
    <t>Uncovered Parking</t>
  </si>
  <si>
    <t>Covered Parking</t>
  </si>
  <si>
    <t>Enclosed Parking</t>
  </si>
  <si>
    <t>Uncovered</t>
  </si>
  <si>
    <t>Covered Spaces</t>
  </si>
  <si>
    <t>Total Spaces</t>
  </si>
  <si>
    <t xml:space="preserve">Describe other available parking for </t>
  </si>
  <si>
    <t xml:space="preserve">commercial patrons. </t>
  </si>
  <si>
    <t>Vacancy Rate:  Restricted Units</t>
  </si>
  <si>
    <t>Vacancy Rate:  Unrestricted Units</t>
  </si>
  <si>
    <t>Vacancy Rate:  Tenant Assistance Payments</t>
  </si>
  <si>
    <t xml:space="preserve">Vacancy Rate:  Commercial Income </t>
  </si>
  <si>
    <t>INCOME FROM SOURCES OTHER THAN RESIDENTIAL RENTS AND SUBSIDIES</t>
  </si>
  <si>
    <t xml:space="preserve">Other Leased Spaces </t>
  </si>
  <si>
    <t>No. of Units Using Central Laundry</t>
  </si>
  <si>
    <t>Residential</t>
  </si>
  <si>
    <t>Lease Terms</t>
  </si>
  <si>
    <t>Sq. Feet</t>
  </si>
  <si>
    <t>Rent/SF/Mo.</t>
  </si>
  <si>
    <t>Annual Gross</t>
  </si>
  <si>
    <t>Weekly Assumed Income Per Unit</t>
  </si>
  <si>
    <t>NNN</t>
  </si>
  <si>
    <t>Annual Total Laundry Income</t>
  </si>
  <si>
    <t>Residential Parking</t>
  </si>
  <si>
    <t>Tenant Rental Spaces</t>
  </si>
  <si>
    <t>Commercial</t>
  </si>
  <si>
    <t>Commercial Parking</t>
  </si>
  <si>
    <t xml:space="preserve">MONTHLY UTILITY ALLOWANCE </t>
  </si>
  <si>
    <t>(Gas, Electric, etc.)</t>
  </si>
  <si>
    <t>0 bdrm</t>
  </si>
  <si>
    <t>1 bdrm</t>
  </si>
  <si>
    <t>2 bdrms</t>
  </si>
  <si>
    <t>3 bdrms</t>
  </si>
  <si>
    <t>4 bdrms</t>
  </si>
  <si>
    <t>Heating</t>
  </si>
  <si>
    <t>Cooking</t>
  </si>
  <si>
    <t>Other Electric</t>
  </si>
  <si>
    <t>Water Heating</t>
  </si>
  <si>
    <t>Water</t>
  </si>
  <si>
    <t>Sewer</t>
  </si>
  <si>
    <t>Trash</t>
  </si>
  <si>
    <t>Local PHA</t>
  </si>
  <si>
    <t>HUD</t>
  </si>
  <si>
    <t>USDA RD</t>
  </si>
  <si>
    <t>Utility Company (Actual Survey)</t>
  </si>
  <si>
    <t>Services Coordinator</t>
  </si>
  <si>
    <t>Employee Units</t>
  </si>
  <si>
    <t>Income Limit</t>
  </si>
  <si>
    <t>Unit Type
(No. of bdrms.)</t>
  </si>
  <si>
    <t xml:space="preserve">Total Operating Expenses Per Unit </t>
  </si>
  <si>
    <t>Per Year</t>
  </si>
  <si>
    <t>Per Month</t>
  </si>
  <si>
    <t>No.</t>
  </si>
  <si>
    <t>Amount</t>
  </si>
  <si>
    <t xml:space="preserve">Interest Rate </t>
  </si>
  <si>
    <t>Repayment Terms</t>
  </si>
  <si>
    <t xml:space="preserve">Type </t>
  </si>
  <si>
    <t>Type</t>
  </si>
  <si>
    <t>CalHFA</t>
  </si>
  <si>
    <t xml:space="preserve">Maximum Net Rent </t>
  </si>
  <si>
    <t xml:space="preserve">Proposed Net Rent </t>
  </si>
  <si>
    <t>Restricted Rents</t>
  </si>
  <si>
    <t>Income</t>
  </si>
  <si>
    <t>Bridge Loan (repaid from Investor equity)</t>
  </si>
  <si>
    <t>HCD</t>
  </si>
  <si>
    <t xml:space="preserve">Subtotal   </t>
  </si>
  <si>
    <t>Rent Limit</t>
  </si>
  <si>
    <t>Committed?</t>
  </si>
  <si>
    <t xml:space="preserve">Residential </t>
  </si>
  <si>
    <t xml:space="preserve">Commercial </t>
  </si>
  <si>
    <t>Demolition</t>
  </si>
  <si>
    <t>Site Work</t>
  </si>
  <si>
    <t>General Requirements</t>
  </si>
  <si>
    <t>Contractor Overhead</t>
  </si>
  <si>
    <t>Contractor Profit</t>
  </si>
  <si>
    <t>Total Rehabilitation Costs</t>
  </si>
  <si>
    <t>General Liability Insurance</t>
  </si>
  <si>
    <t>Design</t>
  </si>
  <si>
    <t>Supervision</t>
  </si>
  <si>
    <t>Total Architectural Costs</t>
  </si>
  <si>
    <t>CONTINGENCY COSTS</t>
  </si>
  <si>
    <t>Total Contingency Costs</t>
  </si>
  <si>
    <t>Origination Fee</t>
  </si>
  <si>
    <t>LEGAL FEES</t>
  </si>
  <si>
    <t>Market Study</t>
  </si>
  <si>
    <t>Furnishings</t>
  </si>
  <si>
    <t>Total Other Costs</t>
  </si>
  <si>
    <t>DEVELOPER COSTS</t>
  </si>
  <si>
    <t>Total Deferred Developer Fee budgeted for payment prior</t>
  </si>
  <si>
    <t>Project Administration</t>
  </si>
  <si>
    <t>Total Developer Costs</t>
  </si>
  <si>
    <t>Applicant Comments</t>
  </si>
  <si>
    <t>Construction Loan Interest</t>
  </si>
  <si>
    <t>FTE</t>
  </si>
  <si>
    <t>Salary/Wages</t>
  </si>
  <si>
    <t>Value of Free Rent</t>
  </si>
  <si>
    <t>Payroll Taxes</t>
  </si>
  <si>
    <t>Workers Compensation</t>
  </si>
  <si>
    <t>Employee Benefits</t>
  </si>
  <si>
    <t>5120/5140</t>
  </si>
  <si>
    <t>Rent Revenue - Gross Potential</t>
  </si>
  <si>
    <t>Tenant Assistance Payments</t>
  </si>
  <si>
    <t>Laundry and Vending Revenue</t>
  </si>
  <si>
    <t>Garage and Parking Spaces</t>
  </si>
  <si>
    <t xml:space="preserve">Miscellaneous Rent Revenue </t>
  </si>
  <si>
    <t>Gross Potential Income (GPI)</t>
  </si>
  <si>
    <t>5220/5240</t>
  </si>
  <si>
    <t>EXPENSES</t>
  </si>
  <si>
    <t>ADMINISTRATIVE EXPENSES: 6200/6300</t>
  </si>
  <si>
    <t>GROSS POTENTIAL INCOME - HOUSING</t>
  </si>
  <si>
    <t>GROSS POTENTIAL INCOME - OTHER</t>
  </si>
  <si>
    <t>GROSS POTENTIAL INCOME - TOTAL</t>
  </si>
  <si>
    <t>Laundry &amp; Vending</t>
  </si>
  <si>
    <t>Restricted Units</t>
  </si>
  <si>
    <t>Commercial Expenses</t>
  </si>
  <si>
    <t>Other Reserves</t>
  </si>
  <si>
    <t>OPERATING EXPENSES &amp; RESERVE DEPOSITS</t>
  </si>
  <si>
    <t>TOTAL EXPENSES &amp; RESERVES</t>
  </si>
  <si>
    <t>Conventions and Meetings</t>
  </si>
  <si>
    <t>Advertising and Marketing</t>
  </si>
  <si>
    <t>Other Renting Expenses</t>
  </si>
  <si>
    <t>Office Expenses</t>
  </si>
  <si>
    <t>Office or Model Apartment Rent</t>
  </si>
  <si>
    <t>Management Fee</t>
  </si>
  <si>
    <t>Audit Expense</t>
  </si>
  <si>
    <t>Bookkeeping Fees/Accounting Services</t>
  </si>
  <si>
    <t>Miscellaneous Administrative Expenses</t>
  </si>
  <si>
    <t>6263T</t>
  </si>
  <si>
    <t xml:space="preserve">  TOTAL ADMINISTRATIVE EXPENSES</t>
  </si>
  <si>
    <t>Electricity</t>
  </si>
  <si>
    <t>6400T</t>
  </si>
  <si>
    <t xml:space="preserve">  TOTAL UTILITIES EXPENSES</t>
  </si>
  <si>
    <t>OPERATING AND MAINTENANCE EXPENSES: 6500</t>
  </si>
  <si>
    <t>Local Development Impact Fees</t>
  </si>
  <si>
    <t>Consultant/Processing Agent</t>
  </si>
  <si>
    <t>Applicant Contact</t>
  </si>
  <si>
    <r>
      <t xml:space="preserve">APPLICANT </t>
    </r>
    <r>
      <rPr>
        <b/>
        <sz val="10"/>
        <color indexed="9"/>
        <rFont val="Arial"/>
        <family val="2"/>
      </rPr>
      <t xml:space="preserve"> (Update based on funding source -- see comment in first box)</t>
    </r>
  </si>
  <si>
    <t>Asset Management/Similar Fees</t>
  </si>
  <si>
    <t>Ground Lease</t>
  </si>
  <si>
    <t>bonds, or MHP (e.g.. HOME or USDA Rural Development).  Describe the limts in the box to the right.</t>
  </si>
  <si>
    <t>Restricted Units by Income and Unit Size</t>
  </si>
  <si>
    <t>Borrower Legal Counsel</t>
  </si>
  <si>
    <t>Site Control</t>
  </si>
  <si>
    <t>Purchase Option</t>
  </si>
  <si>
    <t>Lease</t>
  </si>
  <si>
    <t>Lease Option</t>
  </si>
  <si>
    <t>DDA</t>
  </si>
  <si>
    <t>Eminent Domain</t>
  </si>
  <si>
    <t>Fee Title</t>
  </si>
  <si>
    <t>Current Owner</t>
  </si>
  <si>
    <t>Other -specify in Applicant Notes</t>
  </si>
  <si>
    <t>PLANNED AND COMPLETED PROPERTY TRANSFER(S)</t>
  </si>
  <si>
    <t xml:space="preserve">Other On-Site Services </t>
  </si>
  <si>
    <t>Proposed Zoning (code and name)</t>
  </si>
  <si>
    <t>100-yr. flood plain</t>
  </si>
  <si>
    <t xml:space="preserve">PROPOSED BUILDING TYPES </t>
  </si>
  <si>
    <t>No. of Units</t>
  </si>
  <si>
    <t>Date:</t>
  </si>
  <si>
    <t>SITE CONTROL</t>
  </si>
  <si>
    <t xml:space="preserve">Supplies </t>
  </si>
  <si>
    <t>Garbage and Trash Removal</t>
  </si>
  <si>
    <t>Security Contract</t>
  </si>
  <si>
    <t xml:space="preserve">Cumulative paid Deferred Dev. Fee </t>
  </si>
  <si>
    <t>Heating/Cooling Repairs and Maintenance</t>
  </si>
  <si>
    <t>Snow Removal</t>
  </si>
  <si>
    <t>6500T</t>
  </si>
  <si>
    <t>Real Estate Taxes</t>
  </si>
  <si>
    <t>Property and Liability Insurance (Hazard)</t>
  </si>
  <si>
    <t>Fidelity Bond Insurance</t>
  </si>
  <si>
    <t>Sponsor Developer 1</t>
  </si>
  <si>
    <t>Sponsor Developer 2</t>
  </si>
  <si>
    <t>Bond Counsel</t>
  </si>
  <si>
    <t>Bond Underwriter</t>
  </si>
  <si>
    <t>Private Placement Agent</t>
  </si>
  <si>
    <t>Private Placement Purchaser</t>
  </si>
  <si>
    <t>Credit Enhancement Provider</t>
  </si>
  <si>
    <t>Development Funding Source 1</t>
  </si>
  <si>
    <t>Development Funding Source 2</t>
  </si>
  <si>
    <t>Development Funding Source 3</t>
  </si>
  <si>
    <t>Development Funding Source 4</t>
  </si>
  <si>
    <t>Development Funding Source 5</t>
  </si>
  <si>
    <t>Development Funding Source 6</t>
  </si>
  <si>
    <t>Owner Partner 1 (Borrower Affiliate 1)</t>
  </si>
  <si>
    <t>Owner Partner 1 (Borrower Affiliate 2)</t>
  </si>
  <si>
    <t>Owner Partner 1 (Borrower Affiliate 3)</t>
  </si>
  <si>
    <t>Property Management Agent (Firm)</t>
  </si>
  <si>
    <t>NO MAPPING</t>
  </si>
  <si>
    <t>Rent/Operating Subsidy Source 1</t>
  </si>
  <si>
    <t>Rent/Operating Subsidy Source 2</t>
  </si>
  <si>
    <t>Rent/Operating Subsidy Source 3</t>
  </si>
  <si>
    <t>Rent/Operating Subsidy Source 4</t>
  </si>
  <si>
    <t>Other 1</t>
  </si>
  <si>
    <t>Other 2</t>
  </si>
  <si>
    <t>Name (Formula only from Contacts Worksheet)</t>
  </si>
  <si>
    <t>Drop Down Name</t>
  </si>
  <si>
    <t>San Luis Obispo</t>
  </si>
  <si>
    <t>San Mateo</t>
  </si>
  <si>
    <t>Santa Barbara</t>
  </si>
  <si>
    <t>Santa Clara</t>
  </si>
  <si>
    <t>Santa Cruz</t>
  </si>
  <si>
    <t>Shasta</t>
  </si>
  <si>
    <t>Sierra</t>
  </si>
  <si>
    <t>Siskiyou</t>
  </si>
  <si>
    <t>Solano</t>
  </si>
  <si>
    <t>Sonoma</t>
  </si>
  <si>
    <t>Stanislaus</t>
  </si>
  <si>
    <t>Sutter</t>
  </si>
  <si>
    <t>Tehama</t>
  </si>
  <si>
    <t>Trinity</t>
  </si>
  <si>
    <t>Tulare</t>
  </si>
  <si>
    <t>Tuolumne</t>
  </si>
  <si>
    <t>Ventura</t>
  </si>
  <si>
    <t>Yolo</t>
  </si>
  <si>
    <t>Yuba</t>
  </si>
  <si>
    <t>TCAC_Type Housing</t>
  </si>
  <si>
    <t xml:space="preserve">TCAC Geographical Area </t>
  </si>
  <si>
    <t>HCD Funding</t>
  </si>
  <si>
    <t>6700T</t>
  </si>
  <si>
    <t xml:space="preserve">  TOTAL TAXES AND INSURANCE</t>
  </si>
  <si>
    <t>6900T</t>
  </si>
  <si>
    <t>Required Replacement Reserve Deposits</t>
  </si>
  <si>
    <t>NET OPERATING INCOME</t>
  </si>
  <si>
    <t>1st Mortgage Debt Service</t>
  </si>
  <si>
    <t xml:space="preserve">2nd Mortgage Debt Service </t>
  </si>
  <si>
    <t>6800T</t>
  </si>
  <si>
    <t xml:space="preserve"> CASH FLOW</t>
  </si>
  <si>
    <t>Year 1</t>
  </si>
  <si>
    <t>Year 2</t>
  </si>
  <si>
    <t>Year 3</t>
  </si>
  <si>
    <t>Year 4</t>
  </si>
  <si>
    <t>Year 5</t>
  </si>
  <si>
    <t>Year 6</t>
  </si>
  <si>
    <t>Year 7</t>
  </si>
  <si>
    <t>Year 8</t>
  </si>
  <si>
    <t>Year 9</t>
  </si>
  <si>
    <t>Year 10</t>
  </si>
  <si>
    <t>Year 11</t>
  </si>
  <si>
    <t>Year 12</t>
  </si>
  <si>
    <t>Year 13</t>
  </si>
  <si>
    <t>Year 14</t>
  </si>
  <si>
    <t>Year 15</t>
  </si>
  <si>
    <t>Year 16</t>
  </si>
  <si>
    <t>Year 17</t>
  </si>
  <si>
    <t>Year 18</t>
  </si>
  <si>
    <t>Year 19</t>
  </si>
  <si>
    <t>Year 20</t>
  </si>
  <si>
    <t>Year 21</t>
  </si>
  <si>
    <t>Year 22</t>
  </si>
  <si>
    <t>Year 23</t>
  </si>
  <si>
    <t>Year 24</t>
  </si>
  <si>
    <t>Year 25</t>
  </si>
  <si>
    <t>Year 26</t>
  </si>
  <si>
    <t>Year 27</t>
  </si>
  <si>
    <t>Year 28</t>
  </si>
  <si>
    <t>Year 29</t>
  </si>
  <si>
    <t>Year 30</t>
  </si>
  <si>
    <t>Year 31</t>
  </si>
  <si>
    <t>Year 32</t>
  </si>
  <si>
    <t>Manager Unit</t>
  </si>
  <si>
    <t>AHSC</t>
  </si>
  <si>
    <t>VHHP</t>
  </si>
  <si>
    <t xml:space="preserve">Max Asset Mgmt/Similar Fees </t>
  </si>
  <si>
    <t>Proration</t>
  </si>
  <si>
    <t xml:space="preserve">Laundry, Vending &amp; Other Income </t>
  </si>
  <si>
    <t>Proration % Explanation and Comments</t>
  </si>
  <si>
    <t>Total Unrestricted Units</t>
  </si>
  <si>
    <t>Total Restricted Units</t>
  </si>
  <si>
    <t xml:space="preserve">Laundry/Vending/Other Income </t>
  </si>
  <si>
    <t>Misc. Financial Expenses: (specify)</t>
  </si>
  <si>
    <t xml:space="preserve">  Distributions &amp; residual receipt payments</t>
  </si>
  <si>
    <t>Project Name</t>
  </si>
  <si>
    <t>Sponsor Name</t>
  </si>
  <si>
    <t>Co -Sponsor Name</t>
  </si>
  <si>
    <t>Sponsor
Authorized
Rep Phone</t>
  </si>
  <si>
    <t>Sponsor
Authorized
Rep email</t>
  </si>
  <si>
    <t>Project Address</t>
  </si>
  <si>
    <t>Zip</t>
  </si>
  <si>
    <t>NC, Acq/Rehab, Conv</t>
  </si>
  <si>
    <t>Total Development Costs</t>
  </si>
  <si>
    <t>Subsidy #1 Name</t>
  </si>
  <si>
    <t>Subsidy #1 Revenue</t>
  </si>
  <si>
    <t>Subsidy #1 Number of  Units</t>
  </si>
  <si>
    <t>Subsidy #2 Name</t>
  </si>
  <si>
    <t>Subsidy #2 Number of Units</t>
  </si>
  <si>
    <t>Subsidy #2 Revenue</t>
  </si>
  <si>
    <t>Net Operating Income</t>
  </si>
  <si>
    <t>Debt Coverage Ratio</t>
  </si>
  <si>
    <t>Sponsor
Authorized
Rep. First Name</t>
  </si>
  <si>
    <t>Sponsor Authorised Rep. Last Name</t>
  </si>
  <si>
    <t xml:space="preserve">Local Government SNHP Funds </t>
  </si>
  <si>
    <t>Loan Type</t>
  </si>
  <si>
    <t>From County</t>
  </si>
  <si>
    <t>From Borrower</t>
  </si>
  <si>
    <t xml:space="preserve">Capitalized Operating Subsidy Reserve (COSR) </t>
  </si>
  <si>
    <t>Proposed Units</t>
  </si>
  <si>
    <t>Relocation Reqd.</t>
  </si>
  <si>
    <t>Tax Exempt financing needed for construction</t>
  </si>
  <si>
    <t>Tax Exmpt Financing Amount</t>
  </si>
  <si>
    <t>MHP Predevelopment</t>
  </si>
  <si>
    <t xml:space="preserve">MHP Acquisition </t>
  </si>
  <si>
    <t>MHP Rehabilitation</t>
  </si>
  <si>
    <t xml:space="preserve">MHP Construction </t>
  </si>
  <si>
    <t xml:space="preserve">MHP Permanent </t>
  </si>
  <si>
    <t xml:space="preserve">MHP Bridge Loan </t>
  </si>
  <si>
    <t>MHP Second Mortgage</t>
  </si>
  <si>
    <t>SNHP Construction</t>
  </si>
  <si>
    <t>SNHP Permanent</t>
  </si>
  <si>
    <t>SNHP COSR - County</t>
  </si>
  <si>
    <t>SNHP COSR - Borrower</t>
  </si>
  <si>
    <t>Residential Operating Costs</t>
  </si>
  <si>
    <t>Commercial Operating Costs</t>
  </si>
  <si>
    <t>Predevelopment Loan</t>
  </si>
  <si>
    <t>IIG</t>
  </si>
  <si>
    <t>EMPLOYEE INFORMATION</t>
  </si>
  <si>
    <t>Total Employee(s) Expenses</t>
  </si>
  <si>
    <t>Employee(s) Payroll Taxes, Workers Comp. &amp; Benefits</t>
  </si>
  <si>
    <t>Supportive Services Staff Supervisor(s)</t>
  </si>
  <si>
    <t>Other Supportive Services Staff (inc. Case Manager)</t>
  </si>
  <si>
    <t xml:space="preserve">  TOTAL SUPPORTIVE SERVICES COSTS</t>
  </si>
  <si>
    <t>Other Supportive Services Costs: (specify)</t>
  </si>
  <si>
    <t>NHTF - Nat Hsng Trust Fnd</t>
  </si>
  <si>
    <r>
      <t xml:space="preserve">California Dept. of  Housing and Community Development:
   </t>
    </r>
    <r>
      <rPr>
        <b/>
        <sz val="9"/>
        <rFont val="Arial"/>
        <family val="2"/>
      </rPr>
      <t xml:space="preserve">Affordable Housing and Sustainable Communities (AHSC) </t>
    </r>
  </si>
  <si>
    <r>
      <t xml:space="preserve">   </t>
    </r>
    <r>
      <rPr>
        <b/>
        <sz val="9"/>
        <rFont val="Arial"/>
        <family val="2"/>
      </rPr>
      <t>Home Investment Partnerships (HOME) Program</t>
    </r>
  </si>
  <si>
    <t xml:space="preserve">   Veterans Housing and Homelessness Prevention (VHHP)</t>
  </si>
  <si>
    <t xml:space="preserve">   Transit Oriented Development (TOD) Housing Program</t>
  </si>
  <si>
    <t xml:space="preserve">   MHP - Homeless Youth</t>
  </si>
  <si>
    <t xml:space="preserve">   MHP - Supportive Housing</t>
  </si>
  <si>
    <t xml:space="preserve">   Multifamily Housing Program (MHP) - General</t>
  </si>
  <si>
    <t xml:space="preserve">   Joe Serna, Jr. Farmworker Housing Grant</t>
  </si>
  <si>
    <t xml:space="preserve">   National Housing Trust Fund (NHTF)</t>
  </si>
  <si>
    <t xml:space="preserve">   Predevelopment Loan Program</t>
  </si>
  <si>
    <t>Supportive Services Costs</t>
  </si>
  <si>
    <t>Residential Exp. (w/o Real Estate Taxes &amp; Sup. Services)</t>
  </si>
  <si>
    <t># of Units</t>
  </si>
  <si>
    <t>LIHTC Units</t>
  </si>
  <si>
    <t>Proposed NPLH Assisted Unit Rents</t>
  </si>
  <si>
    <t>HCD Required Replacement Reserve Deposits</t>
  </si>
  <si>
    <t>NPLH -No Place Like Home</t>
  </si>
  <si>
    <t>No Place Like Home (NPLH) Program - Rents and Unit Mix
for units assisted by NPLH</t>
  </si>
  <si>
    <t>No. of NPLH Units</t>
  </si>
  <si>
    <t>Total NPLH units</t>
  </si>
  <si>
    <t>Total Number of NPLH Assisted Units:</t>
  </si>
  <si>
    <t>Residential Expenses
(w/o RE Taxes &amp; Supportive Services Costs)</t>
  </si>
  <si>
    <t>HCD Required Other Reserve Deposits</t>
  </si>
  <si>
    <t>TOTAL OPERATING EXPENSES &amp; RESERVES</t>
  </si>
  <si>
    <r>
      <t xml:space="preserve">Supportive Services Costs
</t>
    </r>
    <r>
      <rPr>
        <b/>
        <i/>
        <sz val="9"/>
        <color indexed="10"/>
        <rFont val="Arial"/>
        <family val="2"/>
      </rPr>
      <t>Enter proration % in yellow cell at right and explain rational for proration in yellow comments box below.</t>
    </r>
  </si>
  <si>
    <t xml:space="preserve">COSR per NPLH Assist. Unit </t>
  </si>
  <si>
    <t>AMI Level</t>
  </si>
  <si>
    <t>TOTAL</t>
  </si>
  <si>
    <t>Level*</t>
  </si>
  <si>
    <t>Efficiency</t>
  </si>
  <si>
    <t>1 BR</t>
  </si>
  <si>
    <t>2 BR</t>
  </si>
  <si>
    <t>3 BR</t>
  </si>
  <si>
    <t>4+ BR</t>
  </si>
  <si>
    <t>ALAMEDA30%</t>
  </si>
  <si>
    <t>ALAMEDA25%</t>
  </si>
  <si>
    <t>ALAMEDA20%</t>
  </si>
  <si>
    <t>ALAMEDA15%</t>
  </si>
  <si>
    <t>ALPINE30%</t>
  </si>
  <si>
    <t>ALPINE25%</t>
  </si>
  <si>
    <t>ALPINE20%</t>
  </si>
  <si>
    <t>ALPINE15%</t>
  </si>
  <si>
    <t>AMADOR30%</t>
  </si>
  <si>
    <t>AMADOR25%</t>
  </si>
  <si>
    <t>AMADOR20%</t>
  </si>
  <si>
    <t>AMADOR15%</t>
  </si>
  <si>
    <t>BUTTE30%</t>
  </si>
  <si>
    <t>BUTTE25%</t>
  </si>
  <si>
    <t>BUTTE20%</t>
  </si>
  <si>
    <t>BUTTE15%</t>
  </si>
  <si>
    <t>CALAVERAS30%</t>
  </si>
  <si>
    <t>CALAVERAS25%</t>
  </si>
  <si>
    <t>CALAVERAS20%</t>
  </si>
  <si>
    <t>CALAVERAS15%</t>
  </si>
  <si>
    <t>COLUSA30%</t>
  </si>
  <si>
    <t>COLUSA25%</t>
  </si>
  <si>
    <t>COLUSA20%</t>
  </si>
  <si>
    <t>COLUSA15%</t>
  </si>
  <si>
    <t>CONTRA COSTA30%</t>
  </si>
  <si>
    <t>CONTRA COSTA25%</t>
  </si>
  <si>
    <t>CONTRA COSTA20%</t>
  </si>
  <si>
    <t>CONTRA COSTA15%</t>
  </si>
  <si>
    <t>DEL NORTE30%</t>
  </si>
  <si>
    <t>DEL NORTE25%</t>
  </si>
  <si>
    <t>DEL NORTE20%</t>
  </si>
  <si>
    <t>DEL NORTE15%</t>
  </si>
  <si>
    <t>EL DORADO30%</t>
  </si>
  <si>
    <t>EL DORADO25%</t>
  </si>
  <si>
    <t>EL DORADO20%</t>
  </si>
  <si>
    <t>EL DORADO15%</t>
  </si>
  <si>
    <t>FRESNO30%</t>
  </si>
  <si>
    <t>FRESNO25%</t>
  </si>
  <si>
    <t>FRESNO20%</t>
  </si>
  <si>
    <t>FRESNO15%</t>
  </si>
  <si>
    <t>GLENN30%</t>
  </si>
  <si>
    <t>GLENN25%</t>
  </si>
  <si>
    <t>GLENN20%</t>
  </si>
  <si>
    <t>GLENN15%</t>
  </si>
  <si>
    <t>HUMBOLDT30%</t>
  </si>
  <si>
    <t>HUMBOLDT25%</t>
  </si>
  <si>
    <t>HUMBOLDT20%</t>
  </si>
  <si>
    <t>HUMBOLDT15%</t>
  </si>
  <si>
    <t>IMPERIAL30%</t>
  </si>
  <si>
    <t>IMPERIAL25%</t>
  </si>
  <si>
    <t>IMPERIAL20%</t>
  </si>
  <si>
    <t>IMPERIAL15%</t>
  </si>
  <si>
    <t>INYO30%</t>
  </si>
  <si>
    <t>INYO25%</t>
  </si>
  <si>
    <t>INYO20%</t>
  </si>
  <si>
    <t>INYO15%</t>
  </si>
  <si>
    <t>KERN30%</t>
  </si>
  <si>
    <t>KERN25%</t>
  </si>
  <si>
    <t>KERN20%</t>
  </si>
  <si>
    <t>KERN15%</t>
  </si>
  <si>
    <t>KINGS30%</t>
  </si>
  <si>
    <t>KINGS25%</t>
  </si>
  <si>
    <t>KINGS20%</t>
  </si>
  <si>
    <t>KINGS15%</t>
  </si>
  <si>
    <t>LAKE30%</t>
  </si>
  <si>
    <t>LAKE25%</t>
  </si>
  <si>
    <t>LAKE20%</t>
  </si>
  <si>
    <t>LAKE15%</t>
  </si>
  <si>
    <t>LASSEN30%</t>
  </si>
  <si>
    <t>LASSEN25%</t>
  </si>
  <si>
    <t>LASSEN20%</t>
  </si>
  <si>
    <t>LASSEN15%</t>
  </si>
  <si>
    <t>LOS ANGELES30%</t>
  </si>
  <si>
    <t>LOS ANGELES25%</t>
  </si>
  <si>
    <t>LOS ANGELES20%</t>
  </si>
  <si>
    <t>LOS ANGELES15%</t>
  </si>
  <si>
    <t>MADERA30%</t>
  </si>
  <si>
    <t>MADERA25%</t>
  </si>
  <si>
    <t>MADERA20%</t>
  </si>
  <si>
    <t>MADERA15%</t>
  </si>
  <si>
    <t>MARIN30%</t>
  </si>
  <si>
    <t>MARIN25%</t>
  </si>
  <si>
    <t>MARIN20%</t>
  </si>
  <si>
    <t>MARIN15%</t>
  </si>
  <si>
    <t>MARIPOSA30%</t>
  </si>
  <si>
    <t>MARIPOSA25%</t>
  </si>
  <si>
    <t>MARIPOSA20%</t>
  </si>
  <si>
    <t>MARIPOSA15%</t>
  </si>
  <si>
    <t>MENDOCINO30%</t>
  </si>
  <si>
    <t>MENDOCINO25%</t>
  </si>
  <si>
    <t>MENDOCINO20%</t>
  </si>
  <si>
    <t>MENDOCINO15%</t>
  </si>
  <si>
    <t>MERCED30%</t>
  </si>
  <si>
    <t>MERCED25%</t>
  </si>
  <si>
    <t>MERCED20%</t>
  </si>
  <si>
    <t>MERCED15%</t>
  </si>
  <si>
    <t>MODOC30%</t>
  </si>
  <si>
    <t>MODOC25%</t>
  </si>
  <si>
    <t>MODOC20%</t>
  </si>
  <si>
    <t>MODOC15%</t>
  </si>
  <si>
    <t>MONO30%</t>
  </si>
  <si>
    <t>MONO25%</t>
  </si>
  <si>
    <t>MONO20%</t>
  </si>
  <si>
    <t>MONO15%</t>
  </si>
  <si>
    <t>MONTEREY30%</t>
  </si>
  <si>
    <t>MONTEREY25%</t>
  </si>
  <si>
    <t>MONTEREY20%</t>
  </si>
  <si>
    <t>MONTEREY15%</t>
  </si>
  <si>
    <t>NAPA30%</t>
  </si>
  <si>
    <t>NAPA25%</t>
  </si>
  <si>
    <t>NAPA20%</t>
  </si>
  <si>
    <t>NAPA15%</t>
  </si>
  <si>
    <t>NEVADA30%</t>
  </si>
  <si>
    <t>NEVADA25%</t>
  </si>
  <si>
    <t>NEVADA20%</t>
  </si>
  <si>
    <t>NEVADA15%</t>
  </si>
  <si>
    <t>ORANGE30%</t>
  </si>
  <si>
    <t>ORANGE25%</t>
  </si>
  <si>
    <t>ORANGE20%</t>
  </si>
  <si>
    <t>ORANGE15%</t>
  </si>
  <si>
    <t>PLACER30%</t>
  </si>
  <si>
    <t>PLACER25%</t>
  </si>
  <si>
    <t>PLACER20%</t>
  </si>
  <si>
    <t>PLACER15%</t>
  </si>
  <si>
    <t>PLUMAS30%</t>
  </si>
  <si>
    <t>PLUMAS25%</t>
  </si>
  <si>
    <t>PLUMAS20%</t>
  </si>
  <si>
    <t>PLUMAS15%</t>
  </si>
  <si>
    <t>RIVERSIDE30%</t>
  </si>
  <si>
    <t>RIVERSIDE25%</t>
  </si>
  <si>
    <t>RIVERSIDE20%</t>
  </si>
  <si>
    <t>RIVERSIDE15%</t>
  </si>
  <si>
    <t>SACRAMENTO30%</t>
  </si>
  <si>
    <t>SACRAMENTO25%</t>
  </si>
  <si>
    <t>SACRAMENTO20%</t>
  </si>
  <si>
    <t>SACRAMENTO15%</t>
  </si>
  <si>
    <t>SAN BENITO30%</t>
  </si>
  <si>
    <t>SAN BENITO25%</t>
  </si>
  <si>
    <t>SAN BENITO20%</t>
  </si>
  <si>
    <t>SAN BENITO15%</t>
  </si>
  <si>
    <t>SAN BERNARDINO30%</t>
  </si>
  <si>
    <t>SAN BERNARDINO25%</t>
  </si>
  <si>
    <t>SAN BERNARDINO20%</t>
  </si>
  <si>
    <t>SAN BERNARDINO15%</t>
  </si>
  <si>
    <t>SAN DIEGO30%</t>
  </si>
  <si>
    <t>SAN DIEGO25%</t>
  </si>
  <si>
    <t>SAN DIEGO20%</t>
  </si>
  <si>
    <t>SAN DIEGO15%</t>
  </si>
  <si>
    <t>SAN FRANCISCO30%</t>
  </si>
  <si>
    <t>SAN FRANCISCO25%</t>
  </si>
  <si>
    <t>SAN FRANCISCO20%</t>
  </si>
  <si>
    <t>SAN FRANCISCO15%</t>
  </si>
  <si>
    <t>SAN JOAQUIN30%</t>
  </si>
  <si>
    <t>SAN JOAQUIN25%</t>
  </si>
  <si>
    <t>SAN JOAQUIN20%</t>
  </si>
  <si>
    <t>SAN JOAQUIN15%</t>
  </si>
  <si>
    <t>SAN LUIS OBISPO30%</t>
  </si>
  <si>
    <t>SAN LUIS OBISPO25%</t>
  </si>
  <si>
    <t>SAN LUIS OBISPO20%</t>
  </si>
  <si>
    <t>SAN LUIS OBISPO15%</t>
  </si>
  <si>
    <t>SAN MATEO30%</t>
  </si>
  <si>
    <t>SAN MATEO25%</t>
  </si>
  <si>
    <t>SAN MATEO20%</t>
  </si>
  <si>
    <t>SAN MATEO15%</t>
  </si>
  <si>
    <t>SANTA BARBARA30%</t>
  </si>
  <si>
    <t>SANTA BARBARA25%</t>
  </si>
  <si>
    <t>SANTA BARBARA20%</t>
  </si>
  <si>
    <t>SANTA BARBARA15%</t>
  </si>
  <si>
    <t>SANTA CLARA30%</t>
  </si>
  <si>
    <t>SANTA CLARA25%</t>
  </si>
  <si>
    <t>SANTA CLARA20%</t>
  </si>
  <si>
    <t>SANTA CLARA15%</t>
  </si>
  <si>
    <t>SANTA CRUZ30%</t>
  </si>
  <si>
    <t>SANTA CRUZ25%</t>
  </si>
  <si>
    <t>SANTA CRUZ20%</t>
  </si>
  <si>
    <t>SANTA CRUZ15%</t>
  </si>
  <si>
    <t>SHASTA30%</t>
  </si>
  <si>
    <t>SHASTA25%</t>
  </si>
  <si>
    <t>SHASTA20%</t>
  </si>
  <si>
    <t>SHASTA15%</t>
  </si>
  <si>
    <t>SIERRA30%</t>
  </si>
  <si>
    <t>SIERRA25%</t>
  </si>
  <si>
    <t>SIERRA20%</t>
  </si>
  <si>
    <t>SIERRA15%</t>
  </si>
  <si>
    <t>SISKIYOU30%</t>
  </si>
  <si>
    <t>SISKIYOU25%</t>
  </si>
  <si>
    <t>SISKIYOU20%</t>
  </si>
  <si>
    <t>SISKIYOU15%</t>
  </si>
  <si>
    <t>SOLANO30%</t>
  </si>
  <si>
    <t>SOLANO25%</t>
  </si>
  <si>
    <t>SOLANO20%</t>
  </si>
  <si>
    <t>SOLANO15%</t>
  </si>
  <si>
    <t>SONOMA30%</t>
  </si>
  <si>
    <t>SONOMA25%</t>
  </si>
  <si>
    <t>SONOMA20%</t>
  </si>
  <si>
    <t>SONOMA15%</t>
  </si>
  <si>
    <t>STANISLAUS30%</t>
  </si>
  <si>
    <t>STANISLAUS25%</t>
  </si>
  <si>
    <t>STANISLAUS20%</t>
  </si>
  <si>
    <t>STANISLAUS15%</t>
  </si>
  <si>
    <t>SUTTER30%</t>
  </si>
  <si>
    <t>SUTTER25%</t>
  </si>
  <si>
    <t>SUTTER20%</t>
  </si>
  <si>
    <t>SUTTER15%</t>
  </si>
  <si>
    <t>TEHAMA30%</t>
  </si>
  <si>
    <t>TEHAMA25%</t>
  </si>
  <si>
    <t>TEHAMA20%</t>
  </si>
  <si>
    <t>TEHAMA15%</t>
  </si>
  <si>
    <t>TRINITY30%</t>
  </si>
  <si>
    <t>TRINITY25%</t>
  </si>
  <si>
    <t>TRINITY20%</t>
  </si>
  <si>
    <t>TRINITY15%</t>
  </si>
  <si>
    <t>TULARE30%</t>
  </si>
  <si>
    <t>TULARE25%</t>
  </si>
  <si>
    <t>TULARE20%</t>
  </si>
  <si>
    <t>TULARE15%</t>
  </si>
  <si>
    <t>TUOLUMNE30%</t>
  </si>
  <si>
    <t>TUOLUMNE25%</t>
  </si>
  <si>
    <t>TUOLUMNE20%</t>
  </si>
  <si>
    <t>TUOLUMNE15%</t>
  </si>
  <si>
    <t>VENTURA30%</t>
  </si>
  <si>
    <t>VENTURA25%</t>
  </si>
  <si>
    <t>VENTURA20%</t>
  </si>
  <si>
    <t>VENTURA15%</t>
  </si>
  <si>
    <t>YOLO30%</t>
  </si>
  <si>
    <t>YOLO25%</t>
  </si>
  <si>
    <t>YOLO20%</t>
  </si>
  <si>
    <t>YOLO15%</t>
  </si>
  <si>
    <t>YUBA30%</t>
  </si>
  <si>
    <t>YUBA25%</t>
  </si>
  <si>
    <t>YUBA20%</t>
  </si>
  <si>
    <t>YUBA15%</t>
  </si>
  <si>
    <t>Anticipated Tax Credits in Project:</t>
  </si>
  <si>
    <t>Project County</t>
  </si>
  <si>
    <t>30%</t>
  </si>
  <si>
    <t>25%</t>
  </si>
  <si>
    <t>20%</t>
  </si>
  <si>
    <t>15%</t>
  </si>
  <si>
    <t>COSR 7% Max §209(i)(1)</t>
  </si>
  <si>
    <t>COSR 5% Max §209(i)(1)</t>
  </si>
  <si>
    <t>COSR (lesser of PU or CF)</t>
  </si>
  <si>
    <t>8314 (e)(1)</t>
  </si>
  <si>
    <t>8314 (e)(2)</t>
  </si>
  <si>
    <t>8314 (e)(3)</t>
  </si>
  <si>
    <t>8314 (e)(4)</t>
  </si>
  <si>
    <t>Fiscal Year</t>
  </si>
  <si>
    <t>Chronic 
Homelessness</t>
  </si>
  <si>
    <t>Special Needs
Population</t>
  </si>
  <si>
    <t>Certification Year - based on completion or update date from Universal Application ('General' worksheet cell K10):</t>
  </si>
  <si>
    <t>Supportiv Services</t>
  </si>
  <si>
    <t>(5) Maximum Supportive Services Costs</t>
  </si>
  <si>
    <t>A. Supportive Services Units:</t>
  </si>
  <si>
    <t>Max PUPY Expense</t>
  </si>
  <si>
    <t>Max Costs</t>
  </si>
  <si>
    <t>Total number of units:</t>
  </si>
  <si>
    <r>
      <rPr>
        <b/>
        <sz val="10"/>
        <rFont val="Arial"/>
        <family val="2"/>
      </rPr>
      <t xml:space="preserve">(1) UMR  §8314(e)(1): </t>
    </r>
    <r>
      <rPr>
        <sz val="10"/>
        <rFont val="Arial"/>
        <family val="2"/>
      </rPr>
      <t xml:space="preserve"> Total number of Supportive Housing (SH) units anticipated to be restricted to individuals or families experiencing chronic homelessness as defined consistent with Health and Safety Code (HSC) §50675.14.</t>
    </r>
  </si>
  <si>
    <r>
      <t xml:space="preserve">Rows 18-24 enter </t>
    </r>
    <r>
      <rPr>
        <b/>
        <u/>
        <sz val="8"/>
        <color rgb="FFFF0000"/>
        <rFont val="Arial"/>
        <family val="2"/>
      </rPr>
      <t>restricted manager</t>
    </r>
    <r>
      <rPr>
        <b/>
        <sz val="8"/>
        <color rgb="FFFF0000"/>
        <rFont val="Arial"/>
        <family val="2"/>
      </rPr>
      <t xml:space="preserve"> unit(s) only; unrestricted Manager's unit(s) use rows 121-123.</t>
    </r>
  </si>
  <si>
    <r>
      <t xml:space="preserve">Show rent limits set by the most restrictive regulatory agency. Rows 18-24 are only for </t>
    </r>
    <r>
      <rPr>
        <b/>
        <u/>
        <sz val="10"/>
        <color rgb="FFFF0000"/>
        <rFont val="Arial"/>
        <family val="2"/>
      </rPr>
      <t>restricted manager</t>
    </r>
    <r>
      <rPr>
        <b/>
        <sz val="10"/>
        <color rgb="FFFF0000"/>
        <rFont val="Arial"/>
        <family val="2"/>
      </rPr>
      <t xml:space="preserve"> units.</t>
    </r>
  </si>
  <si>
    <t xml:space="preserve">NPLH Asset Mgmt/Similar Fees </t>
  </si>
  <si>
    <t>NPLH Asset Mgmt/Similar Fees - unpaid</t>
  </si>
  <si>
    <t>NPLH CASH FLOW</t>
  </si>
  <si>
    <t>COSR PU Total §209(a)(b)</t>
  </si>
  <si>
    <t>COSR CF Total §209(d)</t>
  </si>
  <si>
    <t>NPLH NET OPERATING INCOME</t>
  </si>
  <si>
    <t>Asset Mgmt/Similar Fees paid by NPLH</t>
  </si>
  <si>
    <t>Cash Flow after Asset Mgmt/Similar Fees</t>
  </si>
  <si>
    <t xml:space="preserve">Asset Mgmt/Similar Fees </t>
  </si>
  <si>
    <t>Cash flow paid towards NPLH Asset Mgmt/Similar Fees</t>
  </si>
  <si>
    <t>Cash flow after NPLH Asset Mgmt/Similar Fees</t>
  </si>
  <si>
    <t>Cash Flow (Project Cash Flow - NPLH Cash Flow)</t>
  </si>
  <si>
    <t>NPLH Cash Flow</t>
  </si>
  <si>
    <t>NPLH CASH FLOW after NPLH monitoring fee</t>
  </si>
  <si>
    <t>NON-NPLH CASH FLOW</t>
  </si>
  <si>
    <r>
      <t xml:space="preserve">NPLH .42% Monitoring Fee
</t>
    </r>
    <r>
      <rPr>
        <sz val="10"/>
        <color rgb="FFFF0000"/>
        <rFont val="Arial"/>
        <family val="2"/>
      </rPr>
      <t>HCD Capital Loan Amount portion only</t>
    </r>
  </si>
  <si>
    <t xml:space="preserve">   No Place Like Home (NPLH)</t>
  </si>
  <si>
    <r>
      <t xml:space="preserve">PROPOSED PROJECT DESCRIPTION 
Instruction:  Describe, at minimum, the following topics. </t>
    </r>
    <r>
      <rPr>
        <b/>
        <i/>
        <sz val="11"/>
        <rFont val="Arial"/>
        <family val="2"/>
      </rPr>
      <t>Narrative used for Project Summary Reports.</t>
    </r>
  </si>
  <si>
    <t>Project Amount</t>
  </si>
  <si>
    <t>Total Number of Manager Units:</t>
  </si>
  <si>
    <t>Total Number of Units:</t>
  </si>
  <si>
    <t>Max NPLH Assist. Units §209(f)(2)&amp;(3)</t>
  </si>
  <si>
    <t>Max allowed</t>
  </si>
  <si>
    <t>Staff Supervisor(s) Salaries - from above</t>
  </si>
  <si>
    <t>Other Supportive Services Staff Salaries - from above</t>
  </si>
  <si>
    <t>Supportive Services Admin Overhead</t>
  </si>
  <si>
    <t>SUPPORTIVE SERVICES COSTS: 6900</t>
  </si>
  <si>
    <t>Supportive Services Coordinator, On-Site</t>
  </si>
  <si>
    <t>Services Coordinator Salaries, On-Site - from above</t>
  </si>
  <si>
    <r>
      <rPr>
        <b/>
        <sz val="10"/>
        <rFont val="Arial"/>
        <family val="2"/>
      </rPr>
      <t>HCD UMR  §8301(t):</t>
    </r>
    <r>
      <rPr>
        <sz val="10"/>
        <rFont val="Arial"/>
        <family val="2"/>
      </rPr>
      <t xml:space="preserve">  “</t>
    </r>
    <r>
      <rPr>
        <u/>
        <sz val="10"/>
        <rFont val="Arial"/>
        <family val="2"/>
      </rPr>
      <t>Supportive Services</t>
    </r>
    <r>
      <rPr>
        <sz val="10"/>
        <rFont val="Arial"/>
        <family val="2"/>
      </rPr>
      <t>” - social, health, educational, income support and employment services and benefits, coordination of community building and educational activities, individualized needs assessment, and individualized assistance with obtaining services and benefits.</t>
    </r>
  </si>
  <si>
    <r>
      <t>HCD UMR  §8301(u):</t>
    </r>
    <r>
      <rPr>
        <sz val="10"/>
        <rFont val="Arial"/>
        <family val="2"/>
      </rPr>
      <t xml:space="preserve"> “</t>
    </r>
    <r>
      <rPr>
        <u/>
        <sz val="10"/>
        <rFont val="Arial"/>
        <family val="2"/>
      </rPr>
      <t>Supportive Services Costs</t>
    </r>
    <r>
      <rPr>
        <sz val="10"/>
        <rFont val="Arial"/>
        <family val="2"/>
      </rPr>
      <t>”</t>
    </r>
    <r>
      <rPr>
        <b/>
        <sz val="10"/>
        <rFont val="Arial"/>
        <family val="2"/>
      </rPr>
      <t xml:space="preserve"> - </t>
    </r>
    <r>
      <rPr>
        <sz val="10"/>
        <rFont val="Arial"/>
        <family val="2"/>
      </rPr>
      <t>the costs of providing tenants service coordination, case management, and direct resident and Supportive Services. It includes: (1) the cost of providing tenants with information on and referral to social, health, educational, income support and employment services and benefits, coordination of community building and educational activities, individualized needs assessment, and individualized assistance with obtaining services and benefits; (2) salaries, benefits, contracted services, telecommunication expenses, travel costs, supplies, office expenses, staff training, maintenance of on-site equipment used in services programs, such as computer labs, incidental costs related to resident events, and other similar costs approved by the Department.</t>
    </r>
  </si>
  <si>
    <r>
      <rPr>
        <b/>
        <sz val="10"/>
        <rFont val="Arial"/>
        <family val="2"/>
      </rPr>
      <t xml:space="preserve">(3) UMR §8314(e)(3): </t>
    </r>
    <r>
      <rPr>
        <sz val="10"/>
        <rFont val="Arial"/>
        <family val="2"/>
      </rPr>
      <t xml:space="preserve"> Total number of units where the Sponsor, their affiliate, or a service provider under contract to provide Supportive Services at the Project has both: (A) qualified staff devoted exclusively to oversight and quality control of resident services in affordable housing, including the Project; and (B) a system to track and report on tenant outcomes, such as changes in employment status and income. </t>
    </r>
    <r>
      <rPr>
        <sz val="10"/>
        <color indexed="10"/>
        <rFont val="Arial"/>
        <family val="2"/>
      </rPr>
      <t>Do not include units included in items (1) and (2) above.</t>
    </r>
  </si>
  <si>
    <r>
      <rPr>
        <b/>
        <sz val="10"/>
        <rFont val="Arial"/>
        <family val="2"/>
      </rPr>
      <t>(2) UMR §8314(e)(2):</t>
    </r>
    <r>
      <rPr>
        <sz val="10"/>
        <rFont val="Arial"/>
        <family val="2"/>
      </rPr>
      <t xml:space="preserve">  Total number of Supportive Housing (SH) units (other than those restricted to individuals or families experiencing chronic homelessness pursuant to HSC §50675.14), </t>
    </r>
    <r>
      <rPr>
        <b/>
        <sz val="10"/>
        <rFont val="Arial"/>
        <family val="2"/>
      </rPr>
      <t>PLUS</t>
    </r>
    <r>
      <rPr>
        <sz val="10"/>
        <rFont val="Arial"/>
        <family val="2"/>
      </rPr>
      <t xml:space="preserve"> the total number of units restricted to occupancy by Special Needs Populations (SNP)* under any HCD program. (*</t>
    </r>
    <r>
      <rPr>
        <sz val="10"/>
        <color rgb="FF0000FF"/>
        <rFont val="Arial"/>
        <family val="2"/>
      </rPr>
      <t>click here for definition - §7301(s) of the MHP Regulations</t>
    </r>
    <r>
      <rPr>
        <sz val="10"/>
        <rFont val="Arial"/>
        <family val="2"/>
      </rPr>
      <t xml:space="preserve">).  </t>
    </r>
    <r>
      <rPr>
        <sz val="10"/>
        <color indexed="10"/>
        <rFont val="Arial"/>
        <family val="2"/>
      </rPr>
      <t>Do not include units included in (1) above.</t>
    </r>
  </si>
  <si>
    <r>
      <rPr>
        <b/>
        <sz val="10"/>
        <rFont val="Arial"/>
        <family val="2"/>
      </rPr>
      <t>(4)</t>
    </r>
    <r>
      <rPr>
        <sz val="10"/>
        <rFont val="Arial"/>
        <family val="2"/>
      </rPr>
      <t xml:space="preserve"> </t>
    </r>
    <r>
      <rPr>
        <b/>
        <sz val="10"/>
        <rFont val="Arial"/>
        <family val="2"/>
      </rPr>
      <t xml:space="preserve">UMR §8314(e)(4): </t>
    </r>
    <r>
      <rPr>
        <sz val="10"/>
        <rFont val="Arial"/>
        <family val="2"/>
      </rPr>
      <t xml:space="preserve"> Total number of units anticipated to be offered Supportive Services provided by the Project Sponsor, a Sponsor affiliate, or contracted service provider</t>
    </r>
    <r>
      <rPr>
        <sz val="10"/>
        <color indexed="10"/>
        <rFont val="Arial"/>
        <family val="2"/>
      </rPr>
      <t xml:space="preserve"> that do not satisfy the criteria in items (1), (2) and (3) above.</t>
    </r>
  </si>
  <si>
    <t>NPLH - COSR DISTRIBUTIONS (5% max per year)</t>
  </si>
  <si>
    <t>COSR distributions cumulative</t>
  </si>
  <si>
    <t>Cash Flow with COSR distribution</t>
  </si>
  <si>
    <t>NPLH - COSR DISTRIBUTIONS (7% max per year)</t>
  </si>
  <si>
    <t>OP. EXP. &amp; RESERVE DEPOSITS</t>
  </si>
  <si>
    <t>Efficiency:</t>
  </si>
  <si>
    <t>1 Bedroom:</t>
  </si>
  <si>
    <t>2 Bedroom:</t>
  </si>
  <si>
    <t>3 Bedroom:</t>
  </si>
  <si>
    <t>4+ Bedrm:</t>
  </si>
  <si>
    <t>San Francisco</t>
  </si>
  <si>
    <r>
      <t xml:space="preserve">Tax Credit 50% </t>
    </r>
    <r>
      <rPr>
        <b/>
        <sz val="10"/>
        <rFont val="Arial"/>
        <family val="2"/>
      </rPr>
      <t>Income</t>
    </r>
    <r>
      <rPr>
        <sz val="10"/>
        <rFont val="Arial"/>
        <family val="2"/>
      </rPr>
      <t xml:space="preserve"> Limits for County of :</t>
    </r>
  </si>
  <si>
    <r>
      <rPr>
        <b/>
        <i/>
        <u/>
        <sz val="12"/>
        <color rgb="FFFF0000"/>
        <rFont val="Arial"/>
        <family val="2"/>
      </rPr>
      <t>Getting Started:</t>
    </r>
    <r>
      <rPr>
        <b/>
        <i/>
        <sz val="12"/>
        <color rgb="FFFF0000"/>
        <rFont val="Arial"/>
        <family val="2"/>
      </rPr>
      <t xml:space="preserve"> When you open thIs file, you may see a yellow banner at the top with a button that says "Enable Content" or "Enable Editing".  It is essential that you click this box so that the macros are enabled. Enabling macros is necessary for full workbook functionality.</t>
    </r>
  </si>
  <si>
    <t>Proposed HHC Assisted Unit Rents</t>
  </si>
  <si>
    <t>HHC CASH FLOW</t>
  </si>
  <si>
    <t>HHC - COSR DISTRIBUTIONS (5% max per year)</t>
  </si>
  <si>
    <t>HHC - COSR DISTRIBUTIONS (7% max per year)</t>
  </si>
  <si>
    <t>NPLH Assisted Units</t>
  </si>
  <si>
    <t>HHC Assisted Units</t>
  </si>
  <si>
    <t>HHC Assisted Units vacancy rate</t>
  </si>
  <si>
    <t>NPLH Assisted Units vacancy rate</t>
  </si>
  <si>
    <t>Max HHC Assist. Units §102(e)(2)</t>
  </si>
  <si>
    <t>COSR CF Total §108(b)</t>
  </si>
  <si>
    <t>COSR 5% Max §108(e)</t>
  </si>
  <si>
    <t>COSR 7% Max §108(e)</t>
  </si>
  <si>
    <t>HHC - Hsng for Healthy Ca.</t>
  </si>
  <si>
    <t>HHC NET OPERATING INCOME - CASH FLOW</t>
  </si>
  <si>
    <t>Project County:</t>
  </si>
  <si>
    <t>Total HHC Assisted Units:</t>
  </si>
  <si>
    <t>Total Units:</t>
  </si>
  <si>
    <t>AMI
Level</t>
  </si>
  <si>
    <t>No. of HHC Units</t>
  </si>
  <si>
    <t>Housing for a Healthy California (HHC) Program - Article 1
Rents and Unit Mix for units assisted by HHC</t>
  </si>
  <si>
    <t>Total HHC units</t>
  </si>
  <si>
    <t>COM'L. COST</t>
  </si>
  <si>
    <t>LAND COST/ACQUISITION</t>
  </si>
  <si>
    <t>Legal</t>
  </si>
  <si>
    <t>Land Lease Rent Prepayment</t>
  </si>
  <si>
    <t>Existing Improvements Cost or Value</t>
  </si>
  <si>
    <t>Total Acquisition Cost</t>
  </si>
  <si>
    <t>Total Land Cost / Acquisition Cost</t>
  </si>
  <si>
    <t>Predevelopment Interest/Holding Cost</t>
  </si>
  <si>
    <t>Assumed, Accrued Interest on Existing Debt (Rehab/Acq)</t>
  </si>
  <si>
    <t>Excess Purchase Price Over Appraisal</t>
  </si>
  <si>
    <t>REHABILITATION</t>
  </si>
  <si>
    <t>Structures</t>
  </si>
  <si>
    <t>Prevailing Wages</t>
  </si>
  <si>
    <t>Other: (Specify)</t>
  </si>
  <si>
    <t>Total Relocation Expenses</t>
  </si>
  <si>
    <t>NEW CONSTRUCTION</t>
  </si>
  <si>
    <t>Total New Construction Costs</t>
  </si>
  <si>
    <t>ARCHITECTURAL FEES</t>
  </si>
  <si>
    <t>CONSTRUCTION INTEREST &amp; FEES</t>
  </si>
  <si>
    <t>Credit Enhancement/Application Fee</t>
  </si>
  <si>
    <t>Bond Premium</t>
  </si>
  <si>
    <t>Title &amp; Recording</t>
  </si>
  <si>
    <t>Taxes</t>
  </si>
  <si>
    <t>Insurance</t>
  </si>
  <si>
    <t>Total Construction Interest &amp; Fees</t>
  </si>
  <si>
    <t>PERMANENT FINANCING</t>
  </si>
  <si>
    <t>Loan Origination Fee</t>
  </si>
  <si>
    <t>Total Permanent Financing Costs</t>
  </si>
  <si>
    <t>Subtotals Forward</t>
  </si>
  <si>
    <t>Total Attorney Costs</t>
  </si>
  <si>
    <t>RESERVES</t>
  </si>
  <si>
    <t>Rent Reserves</t>
  </si>
  <si>
    <t>Capitalized Rent Reserves</t>
  </si>
  <si>
    <t>3-Month Operating Reserve</t>
  </si>
  <si>
    <t>Total Reserve Costs</t>
  </si>
  <si>
    <t xml:space="preserve">Construction Hard Cost Contingency </t>
  </si>
  <si>
    <t>Soft Cost Contingency</t>
  </si>
  <si>
    <t>OTHER PROJECT COSTS</t>
  </si>
  <si>
    <t>TCAC App/Allocation/Monitoring Fees</t>
  </si>
  <si>
    <t>Environmental Audit</t>
  </si>
  <si>
    <t>Permit Processing Fees</t>
  </si>
  <si>
    <t>Capital Fees</t>
  </si>
  <si>
    <t>Marketing</t>
  </si>
  <si>
    <t>Accounting/Reimbursable</t>
  </si>
  <si>
    <t>Appraisal Costs</t>
  </si>
  <si>
    <t>SUBTOTAL PROJECT COST</t>
  </si>
  <si>
    <t>Developer Overhead/Profit</t>
  </si>
  <si>
    <t>Broker Fees Paid  to a Related Party</t>
  </si>
  <si>
    <t>Construction Oversight by Developer</t>
  </si>
  <si>
    <t>TOTAL PROJECT COST</t>
  </si>
  <si>
    <t xml:space="preserve"> Total Eligible Basis:</t>
  </si>
  <si>
    <t>Land Cost or Value</t>
  </si>
  <si>
    <t>Total Land Cost or Value</t>
  </si>
  <si>
    <t>Off-Site Improvements</t>
  </si>
  <si>
    <t>Legal Paid by Applicant</t>
  </si>
  <si>
    <t>Source Name
(in lien priority order)</t>
  </si>
  <si>
    <t>Amortiz'n
Period (yrs.)</t>
  </si>
  <si>
    <t>Type of Tax Credits</t>
  </si>
  <si>
    <t xml:space="preserve">Construction Period Sources of Funds </t>
  </si>
  <si>
    <t>Project Phase:</t>
  </si>
  <si>
    <t>Proposed Project Type:</t>
  </si>
  <si>
    <t>TCAC Project #:</t>
  </si>
  <si>
    <t>Project Name:</t>
  </si>
  <si>
    <t>HCD Contract #s:</t>
  </si>
  <si>
    <t>Project's Developer Fee Summary from inputs below:</t>
  </si>
  <si>
    <t>a.</t>
  </si>
  <si>
    <t>Project's type of construction:</t>
  </si>
  <si>
    <t>Origination Document</t>
  </si>
  <si>
    <t>Worksheet</t>
  </si>
  <si>
    <t>Document/Worksheet Section</t>
  </si>
  <si>
    <t>Row Reference</t>
  </si>
  <si>
    <t>Column Reference</t>
  </si>
  <si>
    <t>Perm Document</t>
  </si>
  <si>
    <t>b.</t>
  </si>
  <si>
    <t>Project's Eligible Basis (w/o developer fee)</t>
  </si>
  <si>
    <t>x 15% =</t>
  </si>
  <si>
    <t>Universal Application</t>
  </si>
  <si>
    <t>Dev Budget</t>
  </si>
  <si>
    <t>Final Cost Cert</t>
  </si>
  <si>
    <t>Sum of Eligible Basis prior to Developer Costs</t>
  </si>
  <si>
    <t>c.</t>
  </si>
  <si>
    <t>Basis for Non-Residential Costs (Commercial w/o developer fee)</t>
  </si>
  <si>
    <t>Sum of Commercial Costs not elsewhere included in eligible basis</t>
  </si>
  <si>
    <t>d.</t>
  </si>
  <si>
    <r>
      <rPr>
        <b/>
        <u/>
        <sz val="10"/>
        <color rgb="FF0000FF"/>
        <rFont val="Arial"/>
        <family val="2"/>
      </rPr>
      <t>High Cost Test Adjustment - New Construction only §10327(c)(2)(A)</t>
    </r>
  </si>
  <si>
    <t>Complete the 'TBL and High Cost Test' worksheet contained herein</t>
  </si>
  <si>
    <t>e.</t>
  </si>
  <si>
    <t>Total Adjusted Threshold Basis Limit - §10327(c)(5)</t>
  </si>
  <si>
    <t>f.</t>
  </si>
  <si>
    <t>TOTAL PROJECT COSTS</t>
  </si>
  <si>
    <t>g.</t>
  </si>
  <si>
    <t>High Cost Test Factor - §10327(c)(2)(A)</t>
  </si>
  <si>
    <t>h.</t>
  </si>
  <si>
    <t>Max Developer Fee in Project Costs under 9% rules - §10327(c)(2)(A); UMR §8312(c)(1)</t>
  </si>
  <si>
    <t>(200% - 1g) * 1d</t>
  </si>
  <si>
    <t>j.</t>
  </si>
  <si>
    <r>
      <t xml:space="preserve">Capital Contribution by Sponsor or affiliate - </t>
    </r>
    <r>
      <rPr>
        <i/>
        <sz val="10"/>
        <rFont val="Arial"/>
        <family val="2"/>
      </rPr>
      <t>UMR §8312(d)</t>
    </r>
  </si>
  <si>
    <t>Applicable GP/Sponsor Equity/Contribution amount in column E</t>
  </si>
  <si>
    <t>GP Equity or Contribution/Sponsor Equity or Contribution/GP Equity Developer Fee</t>
  </si>
  <si>
    <t>k.</t>
  </si>
  <si>
    <r>
      <t xml:space="preserve">Section 2. </t>
    </r>
    <r>
      <rPr>
        <b/>
        <u/>
        <sz val="10"/>
        <color rgb="FF0000FF"/>
        <rFont val="Arial"/>
        <family val="2"/>
      </rPr>
      <t>UMR §8312(c)(2)</t>
    </r>
    <r>
      <rPr>
        <b/>
        <sz val="10"/>
        <color rgb="FF0000FF"/>
        <rFont val="Arial"/>
        <family val="2"/>
      </rPr>
      <t xml:space="preserve"> - Maximum Developer Fee allowed in Eligible Basis under </t>
    </r>
    <r>
      <rPr>
        <b/>
        <u/>
        <sz val="10"/>
        <color rgb="FF0000FF"/>
        <rFont val="Arial"/>
        <family val="2"/>
      </rPr>
      <t>TCAC 4% rules</t>
    </r>
  </si>
  <si>
    <t>Max Developer Fee allowed in Eligible Basis under TCAC 4% rules</t>
  </si>
  <si>
    <t>30% PVC New Const/Rehab</t>
  </si>
  <si>
    <t>SUBTOTAL PROJECT COSTS</t>
  </si>
  <si>
    <t xml:space="preserve"> 30% PVC for New Const/Rehab</t>
  </si>
  <si>
    <t>c1.</t>
  </si>
  <si>
    <t>TCAC 4% Project Staff Report</t>
  </si>
  <si>
    <t>Information</t>
  </si>
  <si>
    <t>Housing Type</t>
  </si>
  <si>
    <t/>
  </si>
  <si>
    <t>c2.</t>
  </si>
  <si>
    <r>
      <t xml:space="preserve">Residential Costs: Site Work + Structures + General Requirements divided by total units including manager units
</t>
    </r>
    <r>
      <rPr>
        <b/>
        <sz val="9"/>
        <rFont val="Arial"/>
        <family val="2"/>
      </rPr>
      <t>&gt;= 25,000</t>
    </r>
  </si>
  <si>
    <t>c3.</t>
  </si>
  <si>
    <t xml:space="preserve">Rents </t>
  </si>
  <si>
    <t>Project Information</t>
  </si>
  <si>
    <r>
      <t xml:space="preserve">Number of Units at or below 50% AMI divided by total number of tax credit units </t>
    </r>
    <r>
      <rPr>
        <b/>
        <sz val="9"/>
        <rFont val="Arial"/>
        <family val="2"/>
      </rPr>
      <t>&gt;=30%</t>
    </r>
  </si>
  <si>
    <t>c4.</t>
  </si>
  <si>
    <t>30% PVC Acquisition</t>
  </si>
  <si>
    <t xml:space="preserve"> 30% PVC for Acquisition</t>
  </si>
  <si>
    <t>Maximum Developer Fee in Eligible Basis under 4% rules §8312(c)</t>
  </si>
  <si>
    <t>Max Developer Fee per §8312(c)</t>
  </si>
  <si>
    <r>
      <t xml:space="preserve">Total Developer Fee Limit </t>
    </r>
    <r>
      <rPr>
        <i/>
        <sz val="10"/>
        <rFont val="Arial"/>
        <family val="2"/>
      </rPr>
      <t>(including deferred fee and with no sponsor contribution)</t>
    </r>
  </si>
  <si>
    <r>
      <t xml:space="preserve"> -- lesser of $3,500,000 or amount in Eligible Basis under 4% rules </t>
    </r>
    <r>
      <rPr>
        <b/>
        <sz val="10"/>
        <rFont val="Arial"/>
        <family val="2"/>
      </rPr>
      <t>total UMR §8312(c) amount</t>
    </r>
    <r>
      <rPr>
        <sz val="10"/>
        <rFont val="Arial"/>
        <family val="2"/>
      </rPr>
      <t xml:space="preserve"> </t>
    </r>
    <r>
      <rPr>
        <i/>
        <sz val="10"/>
        <color rgb="FFFF0000"/>
        <rFont val="Arial"/>
        <family val="2"/>
      </rPr>
      <t>(2d above)</t>
    </r>
  </si>
  <si>
    <r>
      <t xml:space="preserve">Capital Contribution by Sponsor or affiliate  - </t>
    </r>
    <r>
      <rPr>
        <i/>
        <sz val="10"/>
        <rFont val="Arial"/>
        <family val="2"/>
      </rPr>
      <t xml:space="preserve">UMR §8312(d) </t>
    </r>
    <r>
      <rPr>
        <i/>
        <sz val="10"/>
        <color rgb="FFFF0000"/>
        <rFont val="Arial"/>
        <family val="2"/>
      </rPr>
      <t>(1j above)</t>
    </r>
  </si>
  <si>
    <r>
      <t xml:space="preserve">Maximum Total Developer Fee - total </t>
    </r>
    <r>
      <rPr>
        <b/>
        <i/>
        <sz val="10"/>
        <rFont val="Arial"/>
        <family val="2"/>
      </rPr>
      <t xml:space="preserve">UMR §8312(c) + UMR §8312(d) </t>
    </r>
    <r>
      <rPr>
        <b/>
        <i/>
        <sz val="10"/>
        <color rgb="FFFF0000"/>
        <rFont val="Arial"/>
        <family val="2"/>
      </rPr>
      <t>1e + 1f</t>
    </r>
  </si>
  <si>
    <t xml:space="preserve">Budgeted Developer Fee paid from Development Sources </t>
  </si>
  <si>
    <t>Total Developer Costs minus Deferred Developer Fee and GP Equity</t>
  </si>
  <si>
    <t>i.</t>
  </si>
  <si>
    <r>
      <t>Minimum Deferred Developer Fee payable exclusively from Operating Income</t>
    </r>
    <r>
      <rPr>
        <sz val="10"/>
        <rFont val="Arial"/>
        <family val="2"/>
      </rPr>
      <t xml:space="preserve"> - </t>
    </r>
    <r>
      <rPr>
        <i/>
        <sz val="10"/>
        <rFont val="Arial"/>
        <family val="2"/>
      </rPr>
      <t>UMR §8312(c)(2)</t>
    </r>
  </si>
  <si>
    <r>
      <t>Section 3. UMR §8312(a) Instructions:</t>
    </r>
    <r>
      <rPr>
        <i/>
        <sz val="10"/>
        <color rgb="FFFF0000"/>
        <rFont val="Arial"/>
        <family val="2"/>
      </rPr>
      <t xml:space="preserve">  Complete the yellow, shaded cells - choose only one in the 'A', 'B' or 'C' sections.</t>
    </r>
  </si>
  <si>
    <r>
      <t xml:space="preserve">a.  </t>
    </r>
    <r>
      <rPr>
        <b/>
        <u/>
        <sz val="10"/>
        <rFont val="Arial"/>
        <family val="2"/>
      </rPr>
      <t xml:space="preserve">New construction and substantial rehab projects </t>
    </r>
    <r>
      <rPr>
        <i/>
        <u/>
        <sz val="10"/>
        <rFont val="Arial"/>
        <family val="2"/>
      </rPr>
      <t>UMR §8312(a)(1)</t>
    </r>
  </si>
  <si>
    <t>a1.</t>
  </si>
  <si>
    <t>Number of units (include manager's unit)</t>
  </si>
  <si>
    <t>a2.</t>
  </si>
  <si>
    <t xml:space="preserve">First 30 units at: </t>
  </si>
  <si>
    <t>each</t>
  </si>
  <si>
    <t>a3.</t>
  </si>
  <si>
    <t xml:space="preserve">Units in excess of 30 at:  </t>
  </si>
  <si>
    <t>a4.</t>
  </si>
  <si>
    <r>
      <t>Total</t>
    </r>
    <r>
      <rPr>
        <sz val="10"/>
        <rFont val="Arial"/>
        <family val="2"/>
      </rPr>
      <t xml:space="preserve"> (a2 + a3)</t>
    </r>
  </si>
  <si>
    <r>
      <t xml:space="preserve">b.  </t>
    </r>
    <r>
      <rPr>
        <b/>
        <u/>
        <sz val="10"/>
        <rFont val="Arial"/>
        <family val="2"/>
      </rPr>
      <t xml:space="preserve">Acquisition and rehab projects </t>
    </r>
    <r>
      <rPr>
        <i/>
        <u/>
        <sz val="10"/>
        <rFont val="Arial"/>
        <family val="2"/>
      </rPr>
      <t>UMR §8312(a)(2)</t>
    </r>
  </si>
  <si>
    <t>with construction cost for rehab work (excluding contractor profit and overhead) between $10,500 - $37,000 per unit</t>
  </si>
  <si>
    <t>b1.</t>
  </si>
  <si>
    <t>b2.</t>
  </si>
  <si>
    <t>b3.</t>
  </si>
  <si>
    <t xml:space="preserve">Units in excess of 30 at: </t>
  </si>
  <si>
    <t>b4.</t>
  </si>
  <si>
    <r>
      <t>Total</t>
    </r>
    <r>
      <rPr>
        <sz val="10"/>
        <rFont val="Arial"/>
        <family val="2"/>
      </rPr>
      <t xml:space="preserve"> (b2 + b3)</t>
    </r>
  </si>
  <si>
    <r>
      <t xml:space="preserve">c.  </t>
    </r>
    <r>
      <rPr>
        <b/>
        <u/>
        <sz val="10"/>
        <rFont val="Arial"/>
        <family val="2"/>
      </rPr>
      <t xml:space="preserve">All other projects </t>
    </r>
    <r>
      <rPr>
        <i/>
        <u/>
        <sz val="10"/>
        <rFont val="Arial"/>
        <family val="2"/>
      </rPr>
      <t>UMR §8312(a)(3)</t>
    </r>
  </si>
  <si>
    <r>
      <t xml:space="preserve">Total </t>
    </r>
    <r>
      <rPr>
        <sz val="10"/>
        <rFont val="Arial"/>
        <family val="2"/>
      </rPr>
      <t>at:</t>
    </r>
  </si>
  <si>
    <t>per unit</t>
  </si>
  <si>
    <r>
      <t xml:space="preserve">d. </t>
    </r>
    <r>
      <rPr>
        <b/>
        <u/>
        <sz val="10"/>
        <rFont val="Arial"/>
        <family val="2"/>
      </rPr>
      <t xml:space="preserve">Sponsor capital contribution of funds or real property </t>
    </r>
    <r>
      <rPr>
        <i/>
        <u/>
        <sz val="10"/>
        <rFont val="Arial"/>
        <family val="2"/>
      </rPr>
      <t>UMR §8312(d)</t>
    </r>
  </si>
  <si>
    <r>
      <t xml:space="preserve">e.  </t>
    </r>
    <r>
      <rPr>
        <b/>
        <u/>
        <sz val="10"/>
        <rFont val="Arial"/>
        <family val="2"/>
      </rPr>
      <t>Maximum allowable Developer Fee (a4, b4 or c2; plus d)</t>
    </r>
  </si>
  <si>
    <t>SRO &amp; STUDIO 4%</t>
  </si>
  <si>
    <t>1 BEDROOM</t>
  </si>
  <si>
    <t>2 BEDROOMS</t>
  </si>
  <si>
    <t>3 BEDROOMS</t>
  </si>
  <si>
    <t>4+ BEDROOMS</t>
  </si>
  <si>
    <t>SRO &amp; STUDIO 9%</t>
  </si>
  <si>
    <t xml:space="preserve">County: </t>
  </si>
  <si>
    <t>Tax Credits:</t>
  </si>
  <si>
    <t>Rep Name:</t>
  </si>
  <si>
    <t>HCD Phase:</t>
  </si>
  <si>
    <t>TCAC Threshold Basis Limits (TBL)</t>
  </si>
  <si>
    <t>Number of Units</t>
  </si>
  <si>
    <t>Basis x
Number of Units</t>
  </si>
  <si>
    <t>SRO/Studio</t>
  </si>
  <si>
    <t>1 Bedroom</t>
  </si>
  <si>
    <t>2 Bedrooms</t>
  </si>
  <si>
    <t>3 Bedrooms</t>
  </si>
  <si>
    <t>4+ Bedrooms</t>
  </si>
  <si>
    <t>NUMBER OF MANAGER UNITS IN PROJECT:</t>
  </si>
  <si>
    <t>TOTAL UNITS:</t>
  </si>
  <si>
    <t>TOTAL UNADJUSTED THRESHOLD BASIS LIMIT (TBL):</t>
  </si>
  <si>
    <r>
      <t xml:space="preserve">TBL ADJUSTMENTS §10327(c)(5)(A-F):  </t>
    </r>
    <r>
      <rPr>
        <b/>
        <i/>
        <sz val="10"/>
        <color rgb="FFFF0000"/>
        <rFont val="Arial"/>
        <family val="2"/>
      </rPr>
      <t>(a) - (e) below cannot exceed 39% of Unadjusted TBL</t>
    </r>
  </si>
  <si>
    <t>(a)</t>
  </si>
  <si>
    <t>Project paid in whole or part out of public funds subject to a legal requirement for the payment of state or federal prevailing wages or financed in part by a labor-affiliated organization requiring the employment of construction workers who are paid at least state or federal prevailing wages.  (20%)</t>
  </si>
  <si>
    <t>Project certifies that (1) they are subject to a Project labor agreement within the meaning of §2500(b)(1) of the Public Contract Code, or (2) they will use a skilled and trained workforce as defined by §25536.7 of the Health and Safety Code to perform all onsite work within an apprenticeable occupation in the building and construction trades. (5%)</t>
  </si>
  <si>
    <t>(b)</t>
  </si>
  <si>
    <t>New construction Project required to provide parking beneath residential units (not "tuck under" parking) or through construction of an on-site parking structure of two or more levels. (7%)</t>
  </si>
  <si>
    <t>(c)</t>
  </si>
  <si>
    <t>Project where a day care center is part of the development. (2%)</t>
  </si>
  <si>
    <t>(d)</t>
  </si>
  <si>
    <t>Project where 100 percent of the units are for Special Needs populations. (2%)</t>
  </si>
  <si>
    <t>(e)</t>
  </si>
  <si>
    <t>Project where at least 95% of the Project's upper floor units are serviced by an elevator. (10%)</t>
  </si>
  <si>
    <t>(f)</t>
  </si>
  <si>
    <t>Project applying under §10325 or §10326 of these regulations that include one or more of the features below. (up to 10%)</t>
  </si>
  <si>
    <t>Proposed energy efficiency/resource conservation/indoor air quality items</t>
  </si>
  <si>
    <t>(1) Project shall have onsite renewable generation estimated to produce 50% or more of annual tenant electricity use. If the combined available roof area of the Project structures, including carports, is insufficient for provision of 50%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 A Project not availing itself of the 90% roof area exception may also receive an increase under paragraph (2) only if the renewable generation used to calculate each basis increase does not overlap. (5%)</t>
  </si>
  <si>
    <t>(2) Project shall have onsite renewable generation estimated to produce 75% or more of annual common area electricity use. If the combined available roof area of the Project structures, including carports, is insufficient for provision of 75%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 A Project not availing itself of the 90% roof area exception may also receive an increase under paragraph (1) only if the renewable generation used to calculate each basis increase does not overlap. (2%)</t>
  </si>
  <si>
    <t>(3) Newly constructed Project buildings shall be 15% or more energy efficient than the 2016 Energy Efficiency Standards (California Code of Regulations, Part 6 of Title 24), except that if the local building department has determined that building permit applications submitted on or before December 31, 2016 are complete, then newly constructed Project buildings shall be fifteen percent (15%) or more energy efficient than the 2013 Energy Efficiency Standards (California Code of Regulations, Part 6 of Title 24). (4%)</t>
  </si>
  <si>
    <t>(4) Rehab Project buildings shall have 80% decrease in estimated TDV energy use (or improvement in energy efficiency) post rehab as demonstrated using the appropriate performance module of CEC approved software. (4%)</t>
  </si>
  <si>
    <t>(5) Irrigate only with reclaimed water, greywater, or rainwater (excepting water used for Community Gardens) or irrigate with reclaimed water, grey water, or rainwater in an amount that annually equals or exceeds 20,000 gallons or 300 gallons per unit, whichever is less. (1%)</t>
  </si>
  <si>
    <t>(6) Community Gardens of at least 60 square feet per unit. Permanent site improvements that provide a viable growing space within the Project including solar access, fencing, watering systems, secure storage space for tools, and pedestrian access. (1%)</t>
  </si>
  <si>
    <t>(7) Install bamboo, cork, salvaged or FSC-Certified wood, natural linoleum, natural rubber, or ceramic tile in all kitchens, living rooms, and bathrooms (where no VOC adhesives or backing is also used). (1%)</t>
  </si>
  <si>
    <t>(8) Install bamboo, stained concrete, cork, salvaged or FSC-Certified wood, ceramic tile, or natural linoleum in all common areas. (2%)</t>
  </si>
  <si>
    <t>(9) Meet all requirements of the U.S. Environmental Protection Agency Indoor Air Plus Program. (2%)</t>
  </si>
  <si>
    <t>(g)</t>
  </si>
  <si>
    <t>Project requires seismic upgrading of existing structures, and/or requires toxic or other environmental mitigation as certified by the Project architect/ engineer. (lesser of costs or 15% basis adjustment)</t>
  </si>
  <si>
    <t>If Yes, select type of work:</t>
  </si>
  <si>
    <t>Enter Certified Costs of Work:</t>
  </si>
  <si>
    <t>(h)</t>
  </si>
  <si>
    <r>
      <t>Local development impact fees required to be paid to local government entities. Certification from local entities assessing fees also required.</t>
    </r>
    <r>
      <rPr>
        <b/>
        <sz val="10"/>
        <rFont val="Arial"/>
        <family val="2"/>
      </rPr>
      <t xml:space="preserve">  WAIVED IMPACT FEES ARE INELIGIBLE.</t>
    </r>
  </si>
  <si>
    <t>(i)</t>
  </si>
  <si>
    <t>Projects within a county with an unadjusted 9% threshold basis limit for a 2-bedroom unit equal or less than $400,000 and within a census tract designated on the TCAC/HCD Opportunity Map as Highest or High Resource. (10%)</t>
  </si>
  <si>
    <t>County eligibility:</t>
  </si>
  <si>
    <t>Census Tract eligibility in TCAC/HCD Opportunity Map:</t>
  </si>
  <si>
    <t>TOTAL HCD ADJ. THRESHOLD BASIS LIMIT:</t>
  </si>
  <si>
    <t>(j)</t>
  </si>
  <si>
    <t>Total Budgeted or Actual Developer Fee</t>
  </si>
  <si>
    <t>f1.</t>
  </si>
  <si>
    <t>Total Eligible Basis - §10327(c)(2)(A)</t>
  </si>
  <si>
    <t>Total Eligible Basis (EB)</t>
  </si>
  <si>
    <t>f2.</t>
  </si>
  <si>
    <t>Total Developer Fee in Eligible Basis</t>
  </si>
  <si>
    <t>(1f1 / 1e)</t>
  </si>
  <si>
    <t>DEVELOPMENT BUDGET</t>
  </si>
  <si>
    <t>Syndication Costs shall NOT be a TCAC project cost.</t>
  </si>
  <si>
    <t>Residential Costs</t>
  </si>
  <si>
    <t>Commercial Costs</t>
  </si>
  <si>
    <t>Total Project Costs</t>
  </si>
  <si>
    <t>Origination</t>
  </si>
  <si>
    <t>Project Amt.</t>
  </si>
  <si>
    <t>HCD Limit</t>
  </si>
  <si>
    <t>Minimum Deferred Developer Fee payable exclusively from Operating Income - 2j</t>
  </si>
  <si>
    <t>Deferred or Contributed Developer Fee</t>
  </si>
  <si>
    <r>
      <t xml:space="preserve">Total Developer Fee (equals </t>
    </r>
    <r>
      <rPr>
        <b/>
        <i/>
        <sz val="10"/>
        <rFont val="Arial"/>
        <family val="2"/>
      </rPr>
      <t xml:space="preserve">Total Developer Costs </t>
    </r>
    <r>
      <rPr>
        <b/>
        <sz val="10"/>
        <rFont val="Arial"/>
        <family val="2"/>
      </rPr>
      <t>above):</t>
    </r>
  </si>
  <si>
    <t>Total Developer Fee allowable from Development Funding Sources:</t>
  </si>
  <si>
    <t>Deferred Developer Fee payable from allowable 50% Distribution:</t>
  </si>
  <si>
    <t>Deferred Dev. Fee payable on a priority basis from Available Cash Flow:</t>
  </si>
  <si>
    <t>COSR Draw</t>
  </si>
  <si>
    <t>CASH FLOW after COSR</t>
  </si>
  <si>
    <t>Cost of Issuance</t>
  </si>
  <si>
    <t>Deferred or Contributed Developer Fee amounts in column E</t>
  </si>
  <si>
    <t># of 0 Bedroom Units</t>
  </si>
  <si>
    <t>Loan Limit 0 Bedroom</t>
  </si>
  <si>
    <t># of 1 Bedroom Units</t>
  </si>
  <si>
    <t># of 2 Bedroom Units</t>
  </si>
  <si>
    <t># of 3 Bedroom Units</t>
  </si>
  <si>
    <t># of 4 Bedroom Units</t>
  </si>
  <si>
    <t>Loan Limit 2 Bedroom</t>
  </si>
  <si>
    <t>Loan Limit 3 Bedroom</t>
  </si>
  <si>
    <t>Loan Limit 4+ Bedroom</t>
  </si>
  <si>
    <t>Loan Limit 1 Bedroom</t>
  </si>
  <si>
    <t>COSR Per Unit Total §103(a)(5)</t>
  </si>
  <si>
    <t>COSR (lesser of Per Unit or CF)</t>
  </si>
  <si>
    <t xml:space="preserve">   Infill Infrastructure Grant Program (IIG)</t>
  </si>
  <si>
    <r>
      <t xml:space="preserve">   </t>
    </r>
    <r>
      <rPr>
        <b/>
        <sz val="9"/>
        <rFont val="Arial"/>
        <family val="2"/>
      </rPr>
      <t>Housing for a Healthy California (HHC)</t>
    </r>
  </si>
  <si>
    <r>
      <t xml:space="preserve">Supportive Services Costs - HCD 2017 UMR Limits </t>
    </r>
    <r>
      <rPr>
        <b/>
        <i/>
        <sz val="12"/>
        <rFont val="Arial"/>
        <family val="2"/>
      </rPr>
      <t>(for projects with HCD funding)</t>
    </r>
  </si>
  <si>
    <t>Total Loan 0 Bedrooms</t>
  </si>
  <si>
    <t>Total Loan 1 Bedroom</t>
  </si>
  <si>
    <t>Total Loan 2 Bedroom</t>
  </si>
  <si>
    <t>Total Loan 3 Bedroom</t>
  </si>
  <si>
    <t>Total Loan 4+ Bedroom</t>
  </si>
  <si>
    <t>Required Cap. Replacement Reserve</t>
  </si>
  <si>
    <t>E101 + F101</t>
  </si>
  <si>
    <t>D101</t>
  </si>
  <si>
    <t>Total Eligible Basis (EB) - Dev Budget F112</t>
  </si>
  <si>
    <t>Total Developer Fee in Eligible Basis - Dev Budget E109 + Dev Budget F109</t>
  </si>
  <si>
    <t>E101</t>
  </si>
  <si>
    <r>
      <t>=(Dev Budget C16 + Dev Budget C17 + Dev Budget C18 + Dev Budget C21)/Rents D125</t>
    </r>
    <r>
      <rPr>
        <b/>
        <sz val="9"/>
        <color theme="1"/>
        <rFont val="Arial"/>
        <family val="2"/>
      </rPr>
      <t xml:space="preserve"> &gt;= 25,000</t>
    </r>
  </si>
  <si>
    <r>
      <t xml:space="preserve">=Rents C157:164 / Rents C165 </t>
    </r>
    <r>
      <rPr>
        <b/>
        <sz val="9"/>
        <color theme="1"/>
        <rFont val="Arial"/>
        <family val="2"/>
      </rPr>
      <t>&gt;= 30%</t>
    </r>
  </si>
  <si>
    <t>F101</t>
  </si>
  <si>
    <t>B109</t>
  </si>
  <si>
    <r>
      <rPr>
        <b/>
        <sz val="10"/>
        <rFont val="Arial"/>
        <family val="2"/>
      </rPr>
      <t>Total Eligible Basis</t>
    </r>
    <r>
      <rPr>
        <sz val="10"/>
        <rFont val="Arial"/>
        <family val="2"/>
      </rPr>
      <t xml:space="preserve"> </t>
    </r>
    <r>
      <rPr>
        <i/>
        <sz val="10"/>
        <rFont val="Arial"/>
        <family val="2"/>
      </rPr>
      <t>(Dev Budget F112)</t>
    </r>
  </si>
  <si>
    <r>
      <t>HCD 2017 UMR Developer Fee Calculator</t>
    </r>
    <r>
      <rPr>
        <sz val="9"/>
        <rFont val="Arial"/>
        <family val="2"/>
      </rPr>
      <t xml:space="preserve"> - </t>
    </r>
    <r>
      <rPr>
        <i/>
        <sz val="9"/>
        <rFont val="Arial"/>
        <family val="2"/>
      </rPr>
      <t>revised 5/1/19 (complete yellow shaded cells)</t>
    </r>
  </si>
  <si>
    <r>
      <t>TCAC Threshold Basis Limit for HCD Developer Fee 2017 UMR §8312(c) &amp; (b) and
High Cost Test for HCD Limits on Development Costs 2017 UMR §8311(a) &amp; (b)</t>
    </r>
    <r>
      <rPr>
        <b/>
        <i/>
        <sz val="11"/>
        <color rgb="FFFF0000"/>
        <rFont val="Arial"/>
        <family val="2"/>
      </rPr>
      <t xml:space="preserve">
Complete yellow shaded cells; for assistance, see cell comments (revised 5/1/19)</t>
    </r>
  </si>
  <si>
    <t>Comments and explanation of basis changes</t>
  </si>
  <si>
    <t xml:space="preserve">Permanent Sources of Funds </t>
  </si>
  <si>
    <t>UA Version 5/8/19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</si>
</sst>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
    <numFmt numFmtId="165" formatCode="_(&quot;$&quot;* #,##0_);_(&quot;$&quot;* \(#,##0\);_(&quot;$&quot;* &quot;-&quot;??_);_(@_)"/>
    <numFmt numFmtId="166" formatCode="mm/dd/yy;@"/>
    <numFmt numFmtId="167" formatCode="mmmm\ d\,\ yyyy"/>
    <numFmt numFmtId="168" formatCode="mm/dd/yy"/>
    <numFmt numFmtId="169" formatCode="&quot;$&quot;#,##0.00"/>
    <numFmt numFmtId="170" formatCode="_(* #,##0_);_(* \(#,##0\);_(* &quot;-&quot;??_);_(@_)"/>
    <numFmt numFmtId="171" formatCode="0.0"/>
    <numFmt numFmtId="172" formatCode="&quot;$&quot;#,##0;[Red]&quot;$&quot;#,##0"/>
    <numFmt numFmtId="173" formatCode="0.0%"/>
    <numFmt numFmtId="174" formatCode="[$$-409]#,##0"/>
    <numFmt numFmtId="175" formatCode="0.000%"/>
    <numFmt numFmtId="176" formatCode="[&lt;=9999999]###\-####;\(###\)\ ###\-####"/>
    <numFmt numFmtId="177" formatCode="_-* #,##0.00_-;\-* #,##0.00_-;_-* &quot;-&quot;??_-;_-@_-"/>
    <numFmt numFmtId="178" formatCode="m/d/yy;@"/>
    <numFmt numFmtId="179" formatCode="&quot;X &quot;#%&quot; =&quot;"/>
    <numFmt numFmtId="180" formatCode="\$#,##0;\$#,##0"/>
  </numFmts>
  <fonts count="151">
    <font>
      <sz val="10"/>
      <name val="Arial"/>
    </font>
    <font>
      <sz val="11"/>
      <color theme="1"/>
      <name val="Calibri"/>
      <family val="2"/>
      <scheme val="minor"/>
    </font>
    <font>
      <sz val="10"/>
      <name val="Arial"/>
      <family val="2"/>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9"/>
      <name val="Geneva"/>
    </font>
    <font>
      <sz val="11"/>
      <name val="Arial"/>
      <family val="2"/>
    </font>
    <font>
      <b/>
      <sz val="12"/>
      <name val="Arial"/>
      <family val="2"/>
    </font>
    <font>
      <b/>
      <i/>
      <u/>
      <sz val="9"/>
      <name val="Arial"/>
      <family val="2"/>
    </font>
    <font>
      <b/>
      <i/>
      <sz val="10"/>
      <name val="Arial"/>
      <family val="2"/>
    </font>
    <font>
      <b/>
      <sz val="11"/>
      <color indexed="9"/>
      <name val="Arial"/>
      <family val="2"/>
    </font>
    <font>
      <sz val="10"/>
      <color indexed="9"/>
      <name val="Arial"/>
      <family val="2"/>
    </font>
    <font>
      <b/>
      <i/>
      <sz val="8"/>
      <name val="Arial"/>
      <family val="2"/>
    </font>
    <font>
      <b/>
      <sz val="9"/>
      <name val="Arial"/>
      <family val="2"/>
    </font>
    <font>
      <sz val="8"/>
      <name val="Arial"/>
      <family val="2"/>
    </font>
    <font>
      <sz val="9"/>
      <name val="Arial"/>
      <family val="2"/>
    </font>
    <font>
      <b/>
      <sz val="10"/>
      <name val="Arial"/>
      <family val="2"/>
    </font>
    <font>
      <sz val="10"/>
      <name val="Arial"/>
      <family val="2"/>
    </font>
    <font>
      <b/>
      <i/>
      <sz val="8"/>
      <color indexed="9"/>
      <name val="Arial"/>
      <family val="2"/>
    </font>
    <font>
      <u/>
      <sz val="10"/>
      <name val="Arial"/>
      <family val="2"/>
    </font>
    <font>
      <b/>
      <u/>
      <sz val="10"/>
      <name val="Arial"/>
      <family val="2"/>
    </font>
    <font>
      <sz val="8"/>
      <name val="Arial"/>
      <family val="2"/>
    </font>
    <font>
      <i/>
      <sz val="10"/>
      <name val="Arial"/>
      <family val="2"/>
    </font>
    <font>
      <sz val="9"/>
      <name val="Arial"/>
      <family val="2"/>
    </font>
    <font>
      <b/>
      <i/>
      <u/>
      <sz val="10"/>
      <name val="Arial"/>
      <family val="2"/>
    </font>
    <font>
      <b/>
      <sz val="12"/>
      <color indexed="9"/>
      <name val="Arial"/>
      <family val="2"/>
    </font>
    <font>
      <sz val="11"/>
      <name val="Arial"/>
      <family val="2"/>
    </font>
    <font>
      <b/>
      <sz val="8"/>
      <name val="Arial"/>
      <family val="2"/>
    </font>
    <font>
      <b/>
      <sz val="10"/>
      <color indexed="9"/>
      <name val="Arial"/>
      <family val="2"/>
    </font>
    <font>
      <sz val="8"/>
      <color indexed="8"/>
      <name val="Tahoma"/>
      <family val="2"/>
    </font>
    <font>
      <b/>
      <sz val="8"/>
      <color indexed="8"/>
      <name val="Tahoma"/>
      <family val="2"/>
    </font>
    <font>
      <sz val="10"/>
      <color indexed="9"/>
      <name val="Arial"/>
      <family val="2"/>
    </font>
    <font>
      <b/>
      <sz val="12"/>
      <color indexed="9"/>
      <name val="Geneva"/>
    </font>
    <font>
      <b/>
      <sz val="9"/>
      <color indexed="9"/>
      <name val="Arial"/>
      <family val="2"/>
    </font>
    <font>
      <sz val="10"/>
      <color indexed="63"/>
      <name val="Arial"/>
      <family val="2"/>
    </font>
    <font>
      <sz val="11"/>
      <color indexed="9"/>
      <name val="Arial"/>
      <family val="2"/>
    </font>
    <font>
      <sz val="10"/>
      <color indexed="10"/>
      <name val="Arial"/>
      <family val="2"/>
    </font>
    <font>
      <i/>
      <sz val="10"/>
      <color indexed="12"/>
      <name val="Arial"/>
      <family val="2"/>
    </font>
    <font>
      <b/>
      <sz val="11"/>
      <name val="Arial"/>
      <family val="2"/>
    </font>
    <font>
      <b/>
      <sz val="10"/>
      <color indexed="8"/>
      <name val="Arial"/>
      <family val="2"/>
    </font>
    <font>
      <b/>
      <sz val="12"/>
      <color indexed="8"/>
      <name val="Arial"/>
      <family val="2"/>
    </font>
    <font>
      <b/>
      <sz val="9"/>
      <name val="Geneva"/>
    </font>
    <font>
      <sz val="12"/>
      <name val="Arial"/>
      <family val="2"/>
    </font>
    <font>
      <sz val="10"/>
      <color indexed="8"/>
      <name val="Arial"/>
      <family val="2"/>
    </font>
    <font>
      <sz val="10"/>
      <name val="Geneva"/>
    </font>
    <font>
      <b/>
      <sz val="10"/>
      <name val="Arial"/>
      <family val="2"/>
    </font>
    <font>
      <b/>
      <sz val="12"/>
      <name val="Arial"/>
      <family val="2"/>
    </font>
    <font>
      <sz val="9"/>
      <color indexed="9"/>
      <name val="Geneva"/>
    </font>
    <font>
      <b/>
      <i/>
      <sz val="12"/>
      <name val="Arial"/>
      <family val="2"/>
    </font>
    <font>
      <b/>
      <i/>
      <sz val="10"/>
      <color indexed="8"/>
      <name val="Arial"/>
      <family val="2"/>
    </font>
    <font>
      <u/>
      <sz val="10"/>
      <color indexed="12"/>
      <name val="Arial"/>
      <family val="2"/>
    </font>
    <font>
      <sz val="8"/>
      <color indexed="81"/>
      <name val="Tahoma"/>
      <family val="2"/>
    </font>
    <font>
      <b/>
      <i/>
      <sz val="9"/>
      <color indexed="12"/>
      <name val="Arial"/>
      <family val="2"/>
    </font>
    <font>
      <i/>
      <sz val="8"/>
      <name val="Arial"/>
      <family val="2"/>
    </font>
    <font>
      <sz val="9"/>
      <color indexed="8"/>
      <name val="Tahoma"/>
      <family val="2"/>
    </font>
    <font>
      <sz val="10"/>
      <name val="Arial"/>
      <family val="2"/>
    </font>
    <font>
      <b/>
      <sz val="14"/>
      <color indexed="8"/>
      <name val="Arial"/>
      <family val="2"/>
    </font>
    <font>
      <sz val="10"/>
      <color indexed="12"/>
      <name val="Arial"/>
      <family val="2"/>
    </font>
    <font>
      <b/>
      <i/>
      <sz val="12"/>
      <name val="Arial"/>
      <family val="2"/>
    </font>
    <font>
      <sz val="10"/>
      <name val="Garamond"/>
      <family val="1"/>
    </font>
    <font>
      <sz val="10"/>
      <color indexed="43"/>
      <name val="Arial"/>
      <family val="2"/>
    </font>
    <font>
      <sz val="7"/>
      <name val="Arial"/>
      <family val="2"/>
    </font>
    <font>
      <sz val="9.5"/>
      <name val="Arial"/>
      <family val="2"/>
    </font>
    <font>
      <b/>
      <sz val="9.5"/>
      <name val="Arial"/>
      <family val="2"/>
    </font>
    <font>
      <sz val="12"/>
      <color indexed="43"/>
      <name val="Arial"/>
      <family val="2"/>
    </font>
    <font>
      <b/>
      <i/>
      <sz val="10"/>
      <name val="Arial"/>
      <family val="2"/>
    </font>
    <font>
      <sz val="10"/>
      <name val="Arial"/>
      <family val="2"/>
    </font>
    <font>
      <b/>
      <sz val="10"/>
      <name val="Geneva"/>
    </font>
    <font>
      <b/>
      <i/>
      <sz val="12"/>
      <color indexed="8"/>
      <name val="Arial"/>
      <family val="2"/>
    </font>
    <font>
      <b/>
      <sz val="10"/>
      <color indexed="10"/>
      <name val="Arial"/>
      <family val="2"/>
    </font>
    <font>
      <sz val="12"/>
      <name val="Times New Roman"/>
      <family val="1"/>
    </font>
    <font>
      <b/>
      <i/>
      <sz val="10"/>
      <color indexed="12"/>
      <name val="Arial"/>
      <family val="2"/>
    </font>
    <font>
      <sz val="9"/>
      <color indexed="10"/>
      <name val="Arial"/>
      <family val="2"/>
    </font>
    <font>
      <u/>
      <sz val="9"/>
      <color indexed="12"/>
      <name val="Arial"/>
      <family val="2"/>
    </font>
    <font>
      <b/>
      <sz val="8"/>
      <color indexed="10"/>
      <name val="Arial"/>
      <family val="2"/>
    </font>
    <font>
      <b/>
      <sz val="8"/>
      <color indexed="81"/>
      <name val="Tahoma"/>
      <family val="2"/>
    </font>
    <font>
      <sz val="9"/>
      <color indexed="81"/>
      <name val="Tahoma"/>
      <family val="2"/>
    </font>
    <font>
      <i/>
      <sz val="8"/>
      <color indexed="81"/>
      <name val="Tahoma"/>
      <family val="2"/>
    </font>
    <font>
      <b/>
      <sz val="7"/>
      <color indexed="9"/>
      <name val="Arial"/>
      <family val="2"/>
    </font>
    <font>
      <b/>
      <sz val="9"/>
      <color indexed="8"/>
      <name val="Arial"/>
      <family val="2"/>
    </font>
    <font>
      <sz val="9"/>
      <color indexed="8"/>
      <name val="Arial"/>
      <family val="2"/>
    </font>
    <font>
      <i/>
      <sz val="9"/>
      <name val="Arial"/>
      <family val="2"/>
    </font>
    <font>
      <sz val="9"/>
      <color indexed="9"/>
      <name val="Arial"/>
      <family val="2"/>
    </font>
    <font>
      <b/>
      <sz val="9"/>
      <color indexed="9"/>
      <name val="Times New Roman"/>
      <family val="1"/>
    </font>
    <font>
      <b/>
      <u/>
      <sz val="9"/>
      <color indexed="9"/>
      <name val="Arial"/>
      <family val="2"/>
    </font>
    <font>
      <u/>
      <sz val="9"/>
      <name val="Arial"/>
      <family val="2"/>
    </font>
    <font>
      <b/>
      <sz val="9"/>
      <color indexed="12"/>
      <name val="Times New Roman"/>
      <family val="1"/>
    </font>
    <font>
      <sz val="11"/>
      <color indexed="8"/>
      <name val="Calibri"/>
      <family val="2"/>
    </font>
    <font>
      <sz val="11"/>
      <name val="Times New Roman"/>
      <family val="1"/>
    </font>
    <font>
      <b/>
      <sz val="9"/>
      <color indexed="81"/>
      <name val="Tahoma"/>
      <family val="2"/>
    </font>
    <font>
      <b/>
      <u/>
      <sz val="9"/>
      <name val="Arial"/>
      <family val="2"/>
    </font>
    <font>
      <b/>
      <i/>
      <sz val="9"/>
      <color indexed="10"/>
      <name val="Arial"/>
      <family val="2"/>
    </font>
    <font>
      <sz val="11"/>
      <color theme="1"/>
      <name val="Calibri"/>
      <family val="2"/>
      <scheme val="minor"/>
    </font>
    <font>
      <sz val="10"/>
      <color theme="0"/>
      <name val="Arial"/>
      <family val="2"/>
    </font>
    <font>
      <b/>
      <sz val="10"/>
      <color theme="1"/>
      <name val="Arial"/>
      <family val="2"/>
    </font>
    <font>
      <sz val="9"/>
      <color theme="1"/>
      <name val="Arial"/>
      <family val="2"/>
    </font>
    <font>
      <sz val="10"/>
      <color rgb="FF0000FF"/>
      <name val="Arial"/>
      <family val="2"/>
    </font>
    <font>
      <b/>
      <i/>
      <sz val="9"/>
      <color rgb="FFFF0000"/>
      <name val="Arial"/>
      <family val="2"/>
    </font>
    <font>
      <b/>
      <sz val="10"/>
      <color rgb="FFFF0000"/>
      <name val="Arial"/>
      <family val="2"/>
    </font>
    <font>
      <sz val="8"/>
      <color theme="1"/>
      <name val="Arial"/>
      <family val="2"/>
    </font>
    <font>
      <sz val="10"/>
      <color rgb="FFFF0000"/>
      <name val="Arial"/>
      <family val="2"/>
    </font>
    <font>
      <sz val="8"/>
      <color rgb="FF000000"/>
      <name val="Tahoma"/>
      <family val="2"/>
    </font>
    <font>
      <b/>
      <i/>
      <sz val="14"/>
      <name val="Arial"/>
      <family val="2"/>
    </font>
    <font>
      <b/>
      <i/>
      <sz val="12"/>
      <color rgb="FFFF0000"/>
      <name val="Arial"/>
      <family val="2"/>
    </font>
    <font>
      <b/>
      <sz val="8"/>
      <color rgb="FFFF0000"/>
      <name val="Arial"/>
      <family val="2"/>
    </font>
    <font>
      <b/>
      <u/>
      <sz val="8"/>
      <color rgb="FFFF0000"/>
      <name val="Arial"/>
      <family val="2"/>
    </font>
    <font>
      <b/>
      <u/>
      <sz val="10"/>
      <color rgb="FFFF0000"/>
      <name val="Arial"/>
      <family val="2"/>
    </font>
    <font>
      <b/>
      <i/>
      <u/>
      <sz val="12"/>
      <color rgb="FFFF0000"/>
      <name val="Arial"/>
      <family val="2"/>
    </font>
    <font>
      <b/>
      <sz val="9"/>
      <color theme="1"/>
      <name val="Arial"/>
      <family val="2"/>
    </font>
    <font>
      <sz val="8"/>
      <color indexed="8"/>
      <name val="Arial"/>
      <family val="2"/>
    </font>
    <font>
      <b/>
      <i/>
      <sz val="9"/>
      <color indexed="81"/>
      <name val="Tahoma"/>
      <family val="2"/>
    </font>
    <font>
      <b/>
      <i/>
      <sz val="9"/>
      <color indexed="12"/>
      <name val="Tahoma"/>
      <family val="2"/>
    </font>
    <font>
      <sz val="9"/>
      <color indexed="39"/>
      <name val="Tahoma"/>
      <family val="2"/>
    </font>
    <font>
      <b/>
      <sz val="8"/>
      <color theme="1"/>
      <name val="Arial"/>
      <family val="2"/>
    </font>
    <font>
      <sz val="10"/>
      <color theme="1"/>
      <name val="Arial"/>
      <family val="2"/>
    </font>
    <font>
      <sz val="11"/>
      <color theme="1"/>
      <name val="Arial"/>
      <family val="2"/>
    </font>
    <font>
      <sz val="10"/>
      <name val="Times New Roman"/>
      <family val="1"/>
    </font>
    <font>
      <b/>
      <sz val="9"/>
      <color rgb="FFC00000"/>
      <name val="Arial"/>
      <family val="2"/>
    </font>
    <font>
      <sz val="9"/>
      <name val="Times New Roman"/>
      <family val="1"/>
    </font>
    <font>
      <sz val="11"/>
      <color theme="0"/>
      <name val="Calibri"/>
      <family val="2"/>
      <scheme val="minor"/>
    </font>
    <font>
      <sz val="8"/>
      <color rgb="FF000000"/>
      <name val="Segoe UI"/>
      <family val="2"/>
    </font>
    <font>
      <sz val="14"/>
      <name val="Arial"/>
      <family val="2"/>
    </font>
    <font>
      <b/>
      <i/>
      <u/>
      <sz val="10"/>
      <color rgb="FFFF0000"/>
      <name val="Arial"/>
      <family val="2"/>
    </font>
    <font>
      <sz val="14"/>
      <color theme="0"/>
      <name val="Arial"/>
      <family val="2"/>
    </font>
    <font>
      <b/>
      <sz val="11"/>
      <color theme="1"/>
      <name val="Arial"/>
      <family val="2"/>
    </font>
    <font>
      <b/>
      <sz val="10"/>
      <color rgb="FF0000FF"/>
      <name val="Arial"/>
      <family val="2"/>
    </font>
    <font>
      <b/>
      <i/>
      <sz val="10"/>
      <color rgb="FFFF0000"/>
      <name val="Arial"/>
      <family val="2"/>
    </font>
    <font>
      <b/>
      <u/>
      <sz val="10"/>
      <color rgb="FF0000FF"/>
      <name val="Arial"/>
      <family val="2"/>
    </font>
    <font>
      <b/>
      <sz val="11"/>
      <color rgb="FFFF0000"/>
      <name val="Arial"/>
      <family val="2"/>
    </font>
    <font>
      <i/>
      <sz val="10"/>
      <color rgb="FFFF0000"/>
      <name val="Arial"/>
      <family val="2"/>
    </font>
    <font>
      <sz val="9"/>
      <color rgb="FF00B050"/>
      <name val="Arial"/>
      <family val="2"/>
    </font>
    <font>
      <b/>
      <sz val="9"/>
      <color rgb="FF0000FF"/>
      <name val="Arial"/>
      <family val="2"/>
    </font>
    <font>
      <sz val="9"/>
      <color rgb="FFFF0000"/>
      <name val="Arial"/>
      <family val="2"/>
    </font>
    <font>
      <i/>
      <sz val="9"/>
      <color rgb="FFFF0000"/>
      <name val="Arial"/>
      <family val="2"/>
    </font>
    <font>
      <i/>
      <u/>
      <sz val="10"/>
      <name val="Arial"/>
      <family val="2"/>
    </font>
    <font>
      <b/>
      <u/>
      <sz val="9"/>
      <color indexed="81"/>
      <name val="Tahoma"/>
      <family val="2"/>
    </font>
    <font>
      <b/>
      <i/>
      <sz val="11"/>
      <color rgb="FFFF0000"/>
      <name val="Arial"/>
      <family val="2"/>
    </font>
    <font>
      <b/>
      <sz val="10"/>
      <color indexed="8"/>
      <name val="Arial"/>
      <family val="1"/>
      <charset val="204"/>
    </font>
    <font>
      <b/>
      <sz val="9"/>
      <color rgb="FFFF0000"/>
      <name val="Arial"/>
      <family val="2"/>
    </font>
    <font>
      <sz val="9"/>
      <color theme="0"/>
      <name val="Arial"/>
      <family val="2"/>
    </font>
    <font>
      <i/>
      <sz val="8"/>
      <color theme="0" tint="-4.9989318521683403E-2"/>
      <name val="Arial"/>
      <family val="2"/>
    </font>
    <font>
      <b/>
      <i/>
      <sz val="10"/>
      <color rgb="FF0033CC"/>
      <name val="Arial"/>
      <family val="2"/>
    </font>
    <font>
      <sz val="10"/>
      <color theme="1"/>
      <name val="Calibri"/>
      <family val="2"/>
      <scheme val="minor"/>
    </font>
    <font>
      <b/>
      <sz val="10"/>
      <color indexed="81"/>
      <name val="Tahoma"/>
      <family val="2"/>
    </font>
    <font>
      <sz val="10"/>
      <color indexed="81"/>
      <name val="Tahoma"/>
      <family val="2"/>
    </font>
    <font>
      <b/>
      <i/>
      <sz val="10"/>
      <color theme="1"/>
      <name val="Arial"/>
      <family val="2"/>
    </font>
    <font>
      <b/>
      <i/>
      <sz val="12"/>
      <color rgb="FF0000FF"/>
      <name val="Arial"/>
      <family val="2"/>
    </font>
    <font>
      <b/>
      <i/>
      <sz val="10"/>
      <color rgb="FF0000FF"/>
      <name val="Arial"/>
      <family val="2"/>
    </font>
  </fonts>
  <fills count="33">
    <fill>
      <patternFill patternType="none"/>
    </fill>
    <fill>
      <patternFill patternType="gray125"/>
    </fill>
    <fill>
      <patternFill patternType="solid">
        <fgColor indexed="8"/>
        <bgColor indexed="64"/>
      </patternFill>
    </fill>
    <fill>
      <patternFill patternType="solid">
        <fgColor indexed="9"/>
        <bgColor indexed="64"/>
      </patternFill>
    </fill>
    <fill>
      <patternFill patternType="solid">
        <fgColor indexed="43"/>
        <bgColor indexed="64"/>
      </patternFill>
    </fill>
    <fill>
      <patternFill patternType="solid">
        <fgColor indexed="8"/>
        <bgColor indexed="9"/>
      </patternFill>
    </fill>
    <fill>
      <patternFill patternType="lightGray"/>
    </fill>
    <fill>
      <patternFill patternType="solid">
        <fgColor indexed="22"/>
        <bgColor indexed="64"/>
      </patternFill>
    </fill>
    <fill>
      <patternFill patternType="solid">
        <fgColor indexed="42"/>
        <bgColor indexed="64"/>
      </patternFill>
    </fill>
    <fill>
      <patternFill patternType="solid">
        <fgColor indexed="65"/>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rgb="FFFFFF99"/>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CCFFCC"/>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theme="8" tint="0.59999389629810485"/>
        <bgColor indexed="64"/>
      </patternFill>
    </fill>
    <fill>
      <patternFill patternType="solid">
        <fgColor rgb="FFFFFF00"/>
        <bgColor indexed="64"/>
      </patternFill>
    </fill>
    <fill>
      <patternFill patternType="solid">
        <fgColor rgb="FFB7DEE8"/>
        <bgColor indexed="64"/>
      </patternFill>
    </fill>
    <fill>
      <patternFill patternType="solid">
        <fgColor indexed="23"/>
        <bgColor indexed="64"/>
      </patternFill>
    </fill>
    <fill>
      <patternFill patternType="lightGray">
        <bgColor indexed="23"/>
      </patternFill>
    </fill>
    <fill>
      <patternFill patternType="solid">
        <fgColor rgb="FFFFFFCC"/>
        <bgColor indexed="64"/>
      </patternFill>
    </fill>
    <fill>
      <patternFill patternType="solid">
        <fgColor rgb="FF99CCFF"/>
        <bgColor indexed="64"/>
      </patternFill>
    </fill>
    <fill>
      <patternFill patternType="solid">
        <fgColor theme="7" tint="0.79998168889431442"/>
        <bgColor indexed="64"/>
      </patternFill>
    </fill>
    <fill>
      <patternFill patternType="solid">
        <fgColor rgb="FFCCECFF"/>
        <bgColor indexed="64"/>
      </patternFill>
    </fill>
    <fill>
      <patternFill patternType="solid">
        <fgColor indexed="26"/>
        <bgColor indexed="64"/>
      </patternFill>
    </fill>
    <fill>
      <patternFill patternType="solid">
        <fgColor rgb="FFFFFFFF"/>
        <bgColor indexed="64"/>
      </patternFill>
    </fill>
    <fill>
      <patternFill patternType="solid">
        <fgColor rgb="FFC0C0C0"/>
        <bgColor indexed="64"/>
      </patternFill>
    </fill>
    <fill>
      <patternFill patternType="solid">
        <fgColor rgb="FFBEBEBE"/>
        <bgColor indexed="64"/>
      </patternFill>
    </fill>
    <fill>
      <patternFill patternType="solid">
        <fgColor theme="6" tint="0.59999389629810485"/>
        <bgColor indexed="64"/>
      </patternFill>
    </fill>
  </fills>
  <borders count="135">
    <border>
      <left/>
      <right/>
      <top/>
      <bottom/>
      <diagonal/>
    </border>
    <border>
      <left/>
      <right/>
      <top style="thin">
        <color indexed="64"/>
      </top>
      <bottom/>
      <diagonal/>
    </border>
    <border>
      <left/>
      <right style="thin">
        <color indexed="64"/>
      </right>
      <top style="thin">
        <color indexed="64"/>
      </top>
      <bottom/>
      <diagonal/>
    </border>
    <border>
      <left/>
      <right style="thin">
        <color indexed="8"/>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right/>
      <top/>
      <bottom style="medium">
        <color indexed="64"/>
      </bottom>
      <diagonal/>
    </border>
    <border>
      <left/>
      <right style="medium">
        <color indexed="64"/>
      </right>
      <top/>
      <bottom style="medium">
        <color indexed="64"/>
      </bottom>
      <diagonal/>
    </border>
    <border>
      <left/>
      <right style="thin">
        <color indexed="8"/>
      </right>
      <top/>
      <bottom style="thin">
        <color indexed="64"/>
      </bottom>
      <diagonal/>
    </border>
    <border>
      <left style="thin">
        <color indexed="64"/>
      </left>
      <right/>
      <top/>
      <bottom/>
      <diagonal/>
    </border>
    <border>
      <left style="thin">
        <color indexed="64"/>
      </left>
      <right/>
      <top/>
      <bottom style="thin">
        <color indexed="64"/>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8"/>
      </left>
      <right/>
      <top style="medium">
        <color indexed="64"/>
      </top>
      <bottom style="medium">
        <color indexed="8"/>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8"/>
      </left>
      <right/>
      <top/>
      <bottom/>
      <diagonal/>
    </border>
    <border>
      <left style="thin">
        <color indexed="8"/>
      </left>
      <right/>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8"/>
      </left>
      <right/>
      <top style="thin">
        <color indexed="64"/>
      </top>
      <bottom style="thin">
        <color indexed="64"/>
      </bottom>
      <diagonal/>
    </border>
    <border>
      <left/>
      <right/>
      <top style="dashed">
        <color indexed="64"/>
      </top>
      <bottom/>
      <diagonal/>
    </border>
    <border>
      <left/>
      <right style="dashed">
        <color indexed="64"/>
      </right>
      <top style="dashed">
        <color indexed="64"/>
      </top>
      <bottom/>
      <diagonal/>
    </border>
    <border>
      <left/>
      <right/>
      <top/>
      <bottom style="dashed">
        <color indexed="64"/>
      </bottom>
      <diagonal/>
    </border>
    <border>
      <left/>
      <right style="dashed">
        <color indexed="64"/>
      </right>
      <top/>
      <bottom style="dashed">
        <color indexed="64"/>
      </bottom>
      <diagonal/>
    </border>
    <border>
      <left style="thin">
        <color indexed="8"/>
      </left>
      <right/>
      <top style="thin">
        <color indexed="64"/>
      </top>
      <bottom style="medium">
        <color indexed="64"/>
      </bottom>
      <diagonal/>
    </border>
    <border>
      <left/>
      <right style="thin">
        <color indexed="8"/>
      </right>
      <top style="thin">
        <color indexed="64"/>
      </top>
      <bottom style="medium">
        <color indexed="64"/>
      </bottom>
      <diagonal/>
    </border>
    <border>
      <left style="thin">
        <color indexed="8"/>
      </left>
      <right/>
      <top style="medium">
        <color indexed="64"/>
      </top>
      <bottom style="thin">
        <color indexed="64"/>
      </bottom>
      <diagonal/>
    </border>
    <border>
      <left/>
      <right style="thin">
        <color indexed="8"/>
      </right>
      <top style="medium">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64"/>
      </top>
      <bottom/>
      <diagonal/>
    </border>
    <border>
      <left/>
      <right style="thin">
        <color indexed="8"/>
      </right>
      <top style="thin">
        <color indexed="64"/>
      </top>
      <bottom/>
      <diagonal/>
    </border>
    <border>
      <left style="thin">
        <color indexed="64"/>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medium">
        <color indexed="64"/>
      </top>
      <bottom/>
      <diagonal/>
    </border>
    <border>
      <left/>
      <right style="thin">
        <color indexed="8"/>
      </right>
      <top style="medium">
        <color indexed="64"/>
      </top>
      <bottom/>
      <diagonal/>
    </border>
    <border>
      <left style="thin">
        <color indexed="8"/>
      </left>
      <right/>
      <top/>
      <bottom style="medium">
        <color indexed="64"/>
      </bottom>
      <diagonal/>
    </border>
    <border>
      <left/>
      <right style="thin">
        <color indexed="8"/>
      </right>
      <top/>
      <bottom style="medium">
        <color indexed="64"/>
      </bottom>
      <diagonal/>
    </border>
    <border>
      <left/>
      <right style="thin">
        <color indexed="64"/>
      </right>
      <top style="medium">
        <color indexed="64"/>
      </top>
      <bottom/>
      <diagonal/>
    </border>
    <border>
      <left style="thin">
        <color indexed="8"/>
      </left>
      <right style="thin">
        <color indexed="8"/>
      </right>
      <top/>
      <bottom/>
      <diagonal/>
    </border>
    <border>
      <left style="thin">
        <color indexed="8"/>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8"/>
      </bottom>
      <diagonal/>
    </border>
    <border>
      <left style="medium">
        <color indexed="64"/>
      </left>
      <right style="thin">
        <color indexed="64"/>
      </right>
      <top style="medium">
        <color indexed="64"/>
      </top>
      <bottom/>
      <diagonal/>
    </border>
    <border>
      <left/>
      <right style="thin">
        <color indexed="8"/>
      </right>
      <top style="medium">
        <color indexed="64"/>
      </top>
      <bottom style="medium">
        <color indexed="64"/>
      </bottom>
      <diagonal/>
    </border>
    <border>
      <left style="dashed">
        <color indexed="64"/>
      </left>
      <right/>
      <top style="dashed">
        <color indexed="64"/>
      </top>
      <bottom/>
      <diagonal/>
    </border>
    <border>
      <left style="dashed">
        <color indexed="64"/>
      </left>
      <right/>
      <top/>
      <bottom style="dashed">
        <color indexed="64"/>
      </bottom>
      <diagonal/>
    </border>
    <border>
      <left/>
      <right style="medium">
        <color indexed="8"/>
      </right>
      <top style="medium">
        <color indexed="64"/>
      </top>
      <bottom style="medium">
        <color indexed="64"/>
      </bottom>
      <diagonal/>
    </border>
    <border>
      <left style="medium">
        <color indexed="64"/>
      </left>
      <right style="thin">
        <color indexed="64"/>
      </right>
      <top/>
      <bottom style="medium">
        <color indexed="64"/>
      </bottom>
      <diagonal/>
    </border>
    <border>
      <left style="thin">
        <color auto="1"/>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top/>
      <bottom style="dashed">
        <color indexed="64"/>
      </bottom>
      <diagonal/>
    </border>
    <border>
      <left style="medium">
        <color indexed="64"/>
      </left>
      <right/>
      <top/>
      <bottom style="mediumDashed">
        <color indexed="64"/>
      </bottom>
      <diagonal/>
    </border>
    <border>
      <left/>
      <right/>
      <top/>
      <bottom style="mediumDashed">
        <color indexed="64"/>
      </bottom>
      <diagonal/>
    </border>
    <border>
      <left/>
      <right style="medium">
        <color indexed="64"/>
      </right>
      <top style="thin">
        <color indexed="64"/>
      </top>
      <bottom style="mediumDashed">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style="medium">
        <color indexed="64"/>
      </left>
      <right/>
      <top style="dashed">
        <color indexed="64"/>
      </top>
      <bottom/>
      <diagonal/>
    </border>
    <border>
      <left/>
      <right style="medium">
        <color indexed="64"/>
      </right>
      <top style="dashed">
        <color indexed="64"/>
      </top>
      <bottom/>
      <diagonal/>
    </border>
    <border>
      <left/>
      <right/>
      <top style="dashed">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style="medium">
        <color auto="1"/>
      </right>
      <top/>
      <bottom style="dashed">
        <color indexed="64"/>
      </bottom>
      <diagonal/>
    </border>
    <border>
      <left/>
      <right style="thin">
        <color auto="1"/>
      </right>
      <top/>
      <bottom/>
      <diagonal/>
    </border>
  </borders>
  <cellStyleXfs count="92">
    <xf numFmtId="0" fontId="0" fillId="0" borderId="0"/>
    <xf numFmtId="43" fontId="3" fillId="0" borderId="0" applyFont="0" applyFill="0" applyBorder="0" applyAlignment="0" applyProtection="0"/>
    <xf numFmtId="43" fontId="3"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43" fontId="95" fillId="0" borderId="0" applyFont="0" applyFill="0" applyBorder="0" applyAlignment="0" applyProtection="0"/>
    <xf numFmtId="177" fontId="95" fillId="0" borderId="0" applyFont="0" applyFill="0" applyBorder="0" applyAlignment="0" applyProtection="0"/>
    <xf numFmtId="43" fontId="9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46" fillId="0" borderId="0" applyFont="0" applyFill="0" applyBorder="0" applyAlignment="0" applyProtection="0"/>
    <xf numFmtId="44" fontId="3" fillId="0" borderId="0" applyFont="0" applyFill="0" applyBorder="0" applyAlignment="0" applyProtection="0"/>
    <xf numFmtId="44" fontId="46"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95"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alignment vertical="top"/>
      <protection locked="0"/>
    </xf>
    <xf numFmtId="0" fontId="4" fillId="0" borderId="0" applyNumberFormat="0" applyFill="0" applyBorder="0" applyAlignment="0" applyProtection="0"/>
    <xf numFmtId="0" fontId="4" fillId="0" borderId="0" applyNumberFormat="0" applyFill="0" applyBorder="0" applyAlignment="0" applyProtection="0">
      <alignment vertical="top"/>
      <protection locked="0"/>
    </xf>
    <xf numFmtId="0" fontId="5" fillId="0" borderId="0" applyNumberFormat="0" applyBorder="0"/>
    <xf numFmtId="0" fontId="6" fillId="0" borderId="0" applyBorder="0" applyAlignment="0"/>
    <xf numFmtId="0" fontId="7" fillId="0" borderId="0" applyFill="0" applyBorder="0" applyAlignment="0"/>
    <xf numFmtId="0" fontId="3" fillId="0" borderId="0"/>
    <xf numFmtId="0" fontId="9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5" fillId="0" borderId="0"/>
    <xf numFmtId="0" fontId="95" fillId="0" borderId="0"/>
    <xf numFmtId="0" fontId="3" fillId="0" borderId="0"/>
    <xf numFmtId="0" fontId="3" fillId="0" borderId="0"/>
    <xf numFmtId="0" fontId="46" fillId="0" borderId="0"/>
    <xf numFmtId="0" fontId="46" fillId="0" borderId="0"/>
    <xf numFmtId="0" fontId="3" fillId="0" borderId="0"/>
    <xf numFmtId="0" fontId="3" fillId="0" borderId="0"/>
    <xf numFmtId="0" fontId="3" fillId="0" borderId="0"/>
    <xf numFmtId="0" fontId="95" fillId="0" borderId="0"/>
    <xf numFmtId="0" fontId="3" fillId="0" borderId="0"/>
    <xf numFmtId="0" fontId="3" fillId="0" borderId="0"/>
    <xf numFmtId="0" fontId="95" fillId="0" borderId="0"/>
    <xf numFmtId="0" fontId="95" fillId="0" borderId="0"/>
    <xf numFmtId="0" fontId="3" fillId="0" borderId="0"/>
    <xf numFmtId="0" fontId="3" fillId="0" borderId="0"/>
    <xf numFmtId="0" fontId="95" fillId="0" borderId="0"/>
    <xf numFmtId="0" fontId="95" fillId="0" borderId="0"/>
    <xf numFmtId="0" fontId="90" fillId="0" borderId="0"/>
    <xf numFmtId="0" fontId="95" fillId="0" borderId="0"/>
    <xf numFmtId="0" fontId="95" fillId="0" borderId="0"/>
    <xf numFmtId="0" fontId="91" fillId="0" borderId="0"/>
    <xf numFmtId="0" fontId="90" fillId="0" borderId="0"/>
    <xf numFmtId="0" fontId="90" fillId="0" borderId="0"/>
    <xf numFmtId="0" fontId="95" fillId="0" borderId="0"/>
    <xf numFmtId="0" fontId="95" fillId="0" borderId="0"/>
    <xf numFmtId="0" fontId="95" fillId="0" borderId="0"/>
    <xf numFmtId="0" fontId="95" fillId="0" borderId="0"/>
    <xf numFmtId="0" fontId="46" fillId="0" borderId="0">
      <alignment vertical="top"/>
    </xf>
    <xf numFmtId="0" fontId="46" fillId="0" borderId="0">
      <alignment vertical="top"/>
    </xf>
    <xf numFmtId="0" fontId="46" fillId="0" borderId="0"/>
    <xf numFmtId="0" fontId="90" fillId="0" borderId="0"/>
    <xf numFmtId="0" fontId="95" fillId="0" borderId="0"/>
    <xf numFmtId="0" fontId="95" fillId="0" borderId="0"/>
    <xf numFmtId="0" fontId="46" fillId="0" borderId="0"/>
    <xf numFmtId="0" fontId="8" fillId="0" borderId="0"/>
    <xf numFmtId="0" fontId="8"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95" fillId="0" borderId="0" applyFont="0" applyFill="0" applyBorder="0" applyAlignment="0" applyProtection="0"/>
    <xf numFmtId="0" fontId="9" fillId="0" borderId="0" applyNumberFormat="0" applyFill="0" applyBorder="0">
      <alignment horizontal="left"/>
    </xf>
    <xf numFmtId="0" fontId="2" fillId="0" borderId="0"/>
    <xf numFmtId="0" fontId="2" fillId="0" borderId="0"/>
    <xf numFmtId="0" fontId="118" fillId="0" borderId="0">
      <alignment horizontal="left" vertical="center"/>
    </xf>
    <xf numFmtId="0" fontId="2" fillId="0" borderId="0"/>
    <xf numFmtId="0" fontId="2" fillId="0" borderId="0"/>
    <xf numFmtId="0" fontId="2" fillId="0" borderId="0"/>
    <xf numFmtId="44" fontId="2" fillId="0" borderId="0" applyFont="0" applyFill="0" applyBorder="0" applyAlignment="0" applyProtection="0"/>
    <xf numFmtId="0" fontId="1" fillId="0" borderId="0"/>
    <xf numFmtId="0" fontId="1" fillId="0" borderId="0"/>
    <xf numFmtId="0" fontId="2" fillId="0" borderId="0"/>
    <xf numFmtId="0" fontId="2" fillId="0" borderId="0"/>
    <xf numFmtId="0" fontId="1" fillId="0" borderId="0"/>
    <xf numFmtId="0" fontId="2" fillId="0" borderId="0"/>
    <xf numFmtId="0" fontId="119" fillId="0" borderId="0"/>
  </cellStyleXfs>
  <cellXfs count="2659">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15" fillId="0" borderId="0" xfId="0" applyFont="1"/>
    <xf numFmtId="0" fontId="0" fillId="0" borderId="9" xfId="0" applyBorder="1"/>
    <xf numFmtId="0" fontId="0" fillId="0" borderId="10" xfId="0" applyBorder="1"/>
    <xf numFmtId="0" fontId="17" fillId="0" borderId="0" xfId="0" applyFont="1"/>
    <xf numFmtId="0" fontId="0" fillId="0" borderId="0" xfId="0" applyAlignment="1">
      <alignment horizontal="center"/>
    </xf>
    <xf numFmtId="0" fontId="19" fillId="0" borderId="0" xfId="0" applyFont="1"/>
    <xf numFmtId="0" fontId="0" fillId="0" borderId="11" xfId="0" applyBorder="1"/>
    <xf numFmtId="0" fontId="20" fillId="0" borderId="0" xfId="0" applyFont="1"/>
    <xf numFmtId="0" fontId="20" fillId="0" borderId="9" xfId="0" applyFont="1" applyBorder="1"/>
    <xf numFmtId="0" fontId="23" fillId="0" borderId="0" xfId="0" applyFont="1"/>
    <xf numFmtId="0" fontId="0" fillId="0" borderId="12" xfId="0" applyBorder="1"/>
    <xf numFmtId="0" fontId="0" fillId="0" borderId="13" xfId="0" applyBorder="1"/>
    <xf numFmtId="0" fontId="6" fillId="0" borderId="0" xfId="22"/>
    <xf numFmtId="0" fontId="0" fillId="0" borderId="14" xfId="0" applyBorder="1"/>
    <xf numFmtId="164" fontId="0" fillId="0" borderId="6" xfId="0" applyNumberFormat="1" applyBorder="1" applyAlignment="1">
      <alignment horizontal="left"/>
    </xf>
    <xf numFmtId="0" fontId="34" fillId="2" borderId="9" xfId="0" applyFont="1" applyFill="1" applyBorder="1"/>
    <xf numFmtId="0" fontId="34" fillId="2" borderId="4" xfId="0" applyFont="1" applyFill="1" applyBorder="1"/>
    <xf numFmtId="0" fontId="12" fillId="0" borderId="15" xfId="0" applyFont="1" applyBorder="1"/>
    <xf numFmtId="0" fontId="12" fillId="0" borderId="0" xfId="0" applyFont="1" applyAlignment="1">
      <alignment horizontal="center"/>
    </xf>
    <xf numFmtId="0" fontId="29" fillId="0" borderId="0" xfId="0" applyFont="1" applyAlignment="1">
      <alignment horizontal="center"/>
    </xf>
    <xf numFmtId="0" fontId="6" fillId="0" borderId="16" xfId="0" applyFont="1" applyBorder="1" applyAlignment="1">
      <alignment horizontal="left"/>
    </xf>
    <xf numFmtId="0" fontId="6" fillId="0" borderId="6" xfId="0" applyFont="1" applyBorder="1" applyAlignment="1">
      <alignment horizontal="left"/>
    </xf>
    <xf numFmtId="0" fontId="6" fillId="0" borderId="14" xfId="0" applyFont="1" applyBorder="1" applyAlignment="1">
      <alignment horizontal="left"/>
    </xf>
    <xf numFmtId="0" fontId="0" fillId="0" borderId="6" xfId="0" applyBorder="1" applyAlignment="1">
      <alignment horizontal="center"/>
    </xf>
    <xf numFmtId="0" fontId="0" fillId="0" borderId="0" xfId="0" applyAlignment="1">
      <alignment horizontal="right"/>
    </xf>
    <xf numFmtId="0" fontId="0" fillId="0" borderId="7" xfId="0" applyBorder="1" applyAlignment="1">
      <alignment horizontal="center"/>
    </xf>
    <xf numFmtId="0" fontId="19" fillId="0" borderId="0" xfId="72" applyFont="1"/>
    <xf numFmtId="1" fontId="26" fillId="0" borderId="0" xfId="72" applyNumberFormat="1" applyFont="1" applyAlignment="1">
      <alignment horizontal="center"/>
    </xf>
    <xf numFmtId="0" fontId="39" fillId="0" borderId="0" xfId="0" applyFont="1"/>
    <xf numFmtId="0" fontId="0" fillId="0" borderId="0" xfId="0" applyAlignment="1">
      <alignment vertical="center"/>
    </xf>
    <xf numFmtId="0" fontId="20" fillId="0" borderId="6" xfId="0" applyFont="1" applyBorder="1"/>
    <xf numFmtId="0" fontId="0" fillId="0" borderId="17" xfId="0" applyBorder="1" applyAlignment="1">
      <alignment horizontal="center"/>
    </xf>
    <xf numFmtId="0" fontId="20" fillId="0" borderId="0" xfId="0" applyFont="1" applyProtection="1">
      <protection locked="0"/>
    </xf>
    <xf numFmtId="170" fontId="20" fillId="0" borderId="0" xfId="1" applyNumberFormat="1" applyFont="1" applyProtection="1">
      <protection locked="0"/>
    </xf>
    <xf numFmtId="0" fontId="0" fillId="0" borderId="0" xfId="0" applyAlignment="1">
      <alignment horizontal="left" vertical="center"/>
    </xf>
    <xf numFmtId="0" fontId="12" fillId="0" borderId="0" xfId="0" applyFont="1"/>
    <xf numFmtId="0" fontId="27" fillId="0" borderId="0" xfId="0" applyFont="1"/>
    <xf numFmtId="0" fontId="56" fillId="0" borderId="0" xfId="0" applyFont="1"/>
    <xf numFmtId="0" fontId="20" fillId="0" borderId="0" xfId="0" applyFont="1" applyAlignment="1" applyProtection="1">
      <alignment horizontal="right"/>
      <protection locked="0"/>
    </xf>
    <xf numFmtId="0" fontId="6" fillId="1" borderId="20" xfId="23" applyFont="1" applyFill="1" applyBorder="1" applyAlignment="1">
      <alignment horizontal="center"/>
    </xf>
    <xf numFmtId="0" fontId="6" fillId="0" borderId="9" xfId="0" applyFont="1" applyBorder="1"/>
    <xf numFmtId="0" fontId="12" fillId="0" borderId="9" xfId="0" applyFont="1" applyBorder="1"/>
    <xf numFmtId="0" fontId="6" fillId="0" borderId="1" xfId="0" applyFont="1" applyBorder="1"/>
    <xf numFmtId="0" fontId="22" fillId="0" borderId="0" xfId="0" applyFont="1"/>
    <xf numFmtId="0" fontId="28" fillId="2" borderId="21" xfId="0" applyFont="1" applyFill="1" applyBorder="1" applyAlignment="1">
      <alignment vertical="center"/>
    </xf>
    <xf numFmtId="0" fontId="0" fillId="2" borderId="21" xfId="0" applyFill="1" applyBorder="1" applyAlignment="1">
      <alignment vertical="center"/>
    </xf>
    <xf numFmtId="0" fontId="6" fillId="0" borderId="0" xfId="0" applyFont="1"/>
    <xf numFmtId="0" fontId="0" fillId="0" borderId="0" xfId="0" applyAlignment="1">
      <alignment wrapText="1"/>
    </xf>
    <xf numFmtId="0" fontId="0" fillId="0" borderId="5" xfId="0" applyBorder="1" applyAlignment="1">
      <alignment horizontal="center"/>
    </xf>
    <xf numFmtId="0" fontId="12" fillId="0" borderId="0" xfId="0" applyFont="1" applyAlignment="1">
      <alignment horizontal="left"/>
    </xf>
    <xf numFmtId="0" fontId="6" fillId="0" borderId="0" xfId="0" applyFont="1" applyAlignment="1">
      <alignment horizontal="right"/>
    </xf>
    <xf numFmtId="0" fontId="12" fillId="0" borderId="0" xfId="0" applyFont="1" applyAlignment="1">
      <alignment horizontal="right"/>
    </xf>
    <xf numFmtId="164" fontId="0" fillId="0" borderId="0" xfId="0" applyNumberFormat="1"/>
    <xf numFmtId="0" fontId="12" fillId="0" borderId="8" xfId="0" applyFont="1" applyBorder="1" applyAlignment="1">
      <alignment horizontal="left" vertical="top"/>
    </xf>
    <xf numFmtId="0" fontId="12" fillId="0" borderId="6" xfId="0" applyFont="1" applyBorder="1" applyAlignment="1">
      <alignment vertical="top"/>
    </xf>
    <xf numFmtId="14" fontId="0" fillId="0" borderId="0" xfId="0" applyNumberFormat="1" applyAlignment="1">
      <alignment horizontal="center"/>
    </xf>
    <xf numFmtId="0" fontId="0" fillId="0" borderId="22" xfId="0" applyBorder="1"/>
    <xf numFmtId="0" fontId="14" fillId="2" borderId="17" xfId="0" applyFont="1" applyFill="1" applyBorder="1" applyAlignment="1">
      <alignment vertical="center"/>
    </xf>
    <xf numFmtId="0" fontId="20" fillId="0" borderId="0" xfId="0" applyFont="1" applyAlignment="1">
      <alignment vertical="center"/>
    </xf>
    <xf numFmtId="0" fontId="0" fillId="0" borderId="17" xfId="0" applyBorder="1"/>
    <xf numFmtId="0" fontId="19" fillId="0" borderId="0" xfId="0" applyFont="1" applyAlignment="1">
      <alignment horizontal="center"/>
    </xf>
    <xf numFmtId="0" fontId="14" fillId="2" borderId="10" xfId="0" applyFont="1" applyFill="1" applyBorder="1" applyAlignment="1">
      <alignment vertical="center"/>
    </xf>
    <xf numFmtId="0" fontId="12" fillId="0" borderId="0" xfId="0" applyFont="1" applyAlignment="1">
      <alignment vertical="center"/>
    </xf>
    <xf numFmtId="0" fontId="0" fillId="0" borderId="0" xfId="0" applyAlignment="1">
      <alignment vertical="top"/>
    </xf>
    <xf numFmtId="0" fontId="10" fillId="0" borderId="0" xfId="0" applyFont="1" applyAlignment="1" applyProtection="1">
      <alignment horizontal="right" vertical="center"/>
      <protection hidden="1"/>
    </xf>
    <xf numFmtId="0" fontId="18" fillId="0" borderId="0" xfId="0" applyFont="1"/>
    <xf numFmtId="0" fontId="5" fillId="0" borderId="0" xfId="23" applyFont="1" applyAlignment="1">
      <alignment horizontal="left"/>
    </xf>
    <xf numFmtId="0" fontId="55" fillId="0" borderId="0" xfId="0" applyFont="1" applyAlignment="1">
      <alignment horizontal="center"/>
    </xf>
    <xf numFmtId="0" fontId="18" fillId="0" borderId="0" xfId="0" applyFont="1" applyAlignment="1">
      <alignment horizontal="center"/>
    </xf>
    <xf numFmtId="0" fontId="0" fillId="0" borderId="0" xfId="0" applyAlignment="1">
      <alignment horizontal="left"/>
    </xf>
    <xf numFmtId="0" fontId="6" fillId="0" borderId="0" xfId="0" applyFont="1" applyAlignment="1">
      <alignment horizontal="center"/>
    </xf>
    <xf numFmtId="9" fontId="6" fillId="0" borderId="0" xfId="0" applyNumberFormat="1" applyFont="1" applyAlignment="1">
      <alignment horizontal="center"/>
    </xf>
    <xf numFmtId="0" fontId="6" fillId="0" borderId="0" xfId="0" applyFont="1" applyAlignment="1">
      <alignment horizontal="center" vertical="center"/>
    </xf>
    <xf numFmtId="0" fontId="2" fillId="0" borderId="0" xfId="0" applyFont="1"/>
    <xf numFmtId="0" fontId="20" fillId="0" borderId="0" xfId="0" applyFont="1" applyAlignment="1" applyProtection="1">
      <alignment horizontal="center"/>
      <protection locked="0"/>
    </xf>
    <xf numFmtId="170" fontId="20" fillId="0" borderId="0" xfId="1" applyNumberFormat="1" applyFont="1" applyAlignment="1" applyProtection="1">
      <alignment horizontal="center"/>
      <protection locked="0"/>
    </xf>
    <xf numFmtId="170" fontId="19" fillId="0" borderId="0" xfId="1" applyNumberFormat="1" applyFont="1" applyAlignment="1" applyProtection="1">
      <alignment horizontal="center"/>
      <protection locked="0"/>
    </xf>
    <xf numFmtId="165" fontId="19" fillId="0" borderId="0" xfId="8" applyNumberFormat="1" applyFont="1" applyAlignment="1" applyProtection="1">
      <alignment horizontal="center"/>
      <protection locked="0"/>
    </xf>
    <xf numFmtId="0" fontId="0" fillId="0" borderId="19" xfId="0" applyBorder="1"/>
    <xf numFmtId="9" fontId="16" fillId="0" borderId="0" xfId="72" applyNumberFormat="1" applyFont="1" applyAlignment="1">
      <alignment horizontal="center"/>
    </xf>
    <xf numFmtId="164" fontId="19" fillId="0" borderId="0" xfId="72" applyNumberFormat="1" applyFont="1" applyAlignment="1">
      <alignment horizontal="centerContinuous"/>
    </xf>
    <xf numFmtId="0" fontId="16" fillId="0" borderId="0" xfId="0" applyFont="1"/>
    <xf numFmtId="0" fontId="0" fillId="0" borderId="30" xfId="0" applyBorder="1"/>
    <xf numFmtId="164" fontId="0" fillId="0" borderId="0" xfId="0" applyNumberFormat="1" applyAlignment="1">
      <alignment horizontal="center"/>
    </xf>
    <xf numFmtId="14" fontId="56" fillId="0" borderId="0" xfId="0" quotePrefix="1" applyNumberFormat="1" applyFont="1"/>
    <xf numFmtId="0" fontId="0" fillId="4" borderId="0" xfId="0" applyFill="1"/>
    <xf numFmtId="0" fontId="9" fillId="0" borderId="9" xfId="0" applyFont="1" applyBorder="1"/>
    <xf numFmtId="0" fontId="9" fillId="0" borderId="0" xfId="77">
      <alignment horizontal="left"/>
    </xf>
    <xf numFmtId="0" fontId="7" fillId="0" borderId="0" xfId="23" applyAlignment="1">
      <alignment horizontal="center"/>
    </xf>
    <xf numFmtId="0" fontId="21" fillId="0" borderId="0" xfId="21" applyFont="1"/>
    <xf numFmtId="0" fontId="15" fillId="0" borderId="0" xfId="0" applyFont="1" applyAlignment="1">
      <alignment horizontal="left"/>
    </xf>
    <xf numFmtId="0" fontId="16" fillId="0" borderId="9" xfId="0" applyFont="1" applyBorder="1"/>
    <xf numFmtId="0" fontId="28" fillId="2" borderId="22" xfId="0" applyFont="1" applyFill="1" applyBorder="1" applyAlignment="1">
      <alignment vertical="center"/>
    </xf>
    <xf numFmtId="0" fontId="14" fillId="2" borderId="0" xfId="0" applyFont="1" applyFill="1" applyAlignment="1">
      <alignment vertical="center"/>
    </xf>
    <xf numFmtId="164" fontId="14" fillId="2" borderId="0" xfId="8" applyNumberFormat="1" applyFont="1" applyFill="1" applyAlignment="1">
      <alignment vertical="center"/>
    </xf>
    <xf numFmtId="0" fontId="14" fillId="2" borderId="0" xfId="0" applyFont="1" applyFill="1" applyAlignment="1">
      <alignment vertical="center" wrapText="1"/>
    </xf>
    <xf numFmtId="0" fontId="28" fillId="2" borderId="9" xfId="0" applyFont="1" applyFill="1" applyBorder="1" applyAlignment="1">
      <alignment horizontal="left" vertical="center"/>
    </xf>
    <xf numFmtId="0" fontId="28" fillId="2" borderId="0" xfId="0" applyFont="1" applyFill="1" applyAlignment="1">
      <alignment horizontal="left" vertical="center"/>
    </xf>
    <xf numFmtId="0" fontId="28" fillId="2" borderId="10" xfId="0" applyFont="1" applyFill="1" applyBorder="1" applyAlignment="1">
      <alignment horizontal="left" vertical="center"/>
    </xf>
    <xf numFmtId="0" fontId="6" fillId="0" borderId="31" xfId="0" applyFont="1" applyBorder="1"/>
    <xf numFmtId="0" fontId="28" fillId="2" borderId="29" xfId="0" applyFont="1" applyFill="1" applyBorder="1" applyAlignment="1">
      <alignment vertical="center"/>
    </xf>
    <xf numFmtId="0" fontId="0" fillId="2" borderId="32" xfId="0" applyFill="1" applyBorder="1" applyAlignment="1">
      <alignment vertical="center"/>
    </xf>
    <xf numFmtId="5" fontId="62" fillId="0" borderId="17" xfId="0" applyNumberFormat="1" applyFont="1" applyBorder="1"/>
    <xf numFmtId="0" fontId="8" fillId="0" borderId="0" xfId="71"/>
    <xf numFmtId="165" fontId="8" fillId="0" borderId="0" xfId="8" applyNumberFormat="1" applyFont="1"/>
    <xf numFmtId="0" fontId="0" fillId="0" borderId="9" xfId="0" applyBorder="1" applyAlignment="1">
      <alignment horizontal="left"/>
    </xf>
    <xf numFmtId="0" fontId="19" fillId="0" borderId="10" xfId="0" applyFont="1" applyBorder="1"/>
    <xf numFmtId="0" fontId="0" fillId="0" borderId="33" xfId="0" applyBorder="1"/>
    <xf numFmtId="0" fontId="20" fillId="4" borderId="0" xfId="0" applyFont="1" applyFill="1" applyProtection="1">
      <protection locked="0"/>
    </xf>
    <xf numFmtId="0" fontId="13" fillId="0" borderId="0" xfId="0" applyFont="1" applyAlignment="1">
      <alignment horizontal="center"/>
    </xf>
    <xf numFmtId="0" fontId="20" fillId="0" borderId="0" xfId="0" applyFont="1" applyAlignment="1">
      <alignment horizontal="center"/>
    </xf>
    <xf numFmtId="0" fontId="26" fillId="0" borderId="0" xfId="0" applyFont="1" applyAlignment="1">
      <alignment horizontal="left" vertical="center"/>
    </xf>
    <xf numFmtId="0" fontId="20" fillId="0" borderId="0" xfId="71" applyFont="1" applyAlignment="1" applyProtection="1">
      <alignment horizontal="left"/>
      <protection locked="0"/>
    </xf>
    <xf numFmtId="0" fontId="20" fillId="0" borderId="0" xfId="0" applyFont="1" applyAlignment="1">
      <alignment horizontal="right"/>
    </xf>
    <xf numFmtId="9" fontId="0" fillId="0" borderId="0" xfId="0" applyNumberFormat="1"/>
    <xf numFmtId="0" fontId="24" fillId="0" borderId="0" xfId="0" applyFont="1" applyAlignment="1">
      <alignment vertical="top"/>
    </xf>
    <xf numFmtId="0" fontId="38" fillId="0" borderId="0" xfId="0" applyFont="1" applyAlignment="1">
      <alignment horizontal="center"/>
    </xf>
    <xf numFmtId="0" fontId="5" fillId="0" borderId="0" xfId="21"/>
    <xf numFmtId="169" fontId="20" fillId="0" borderId="0" xfId="0" applyNumberFormat="1" applyFont="1" applyAlignment="1">
      <alignment horizontal="right"/>
    </xf>
    <xf numFmtId="0" fontId="20" fillId="0" borderId="0" xfId="0" applyFont="1" applyAlignment="1">
      <alignment horizontal="left" vertical="center"/>
    </xf>
    <xf numFmtId="0" fontId="0" fillId="0" borderId="34" xfId="0" applyBorder="1"/>
    <xf numFmtId="0" fontId="20" fillId="0" borderId="9" xfId="0" applyFont="1" applyBorder="1" applyAlignment="1">
      <alignment horizontal="left" vertical="center"/>
    </xf>
    <xf numFmtId="0" fontId="20" fillId="4" borderId="10" xfId="0" applyFont="1" applyFill="1" applyBorder="1" applyProtection="1">
      <protection locked="0"/>
    </xf>
    <xf numFmtId="0" fontId="28" fillId="2" borderId="35" xfId="0" applyFont="1" applyFill="1" applyBorder="1" applyAlignment="1">
      <alignment vertical="center"/>
    </xf>
    <xf numFmtId="0" fontId="28" fillId="2" borderId="36" xfId="0" applyFont="1" applyFill="1" applyBorder="1" applyAlignment="1">
      <alignment vertical="center"/>
    </xf>
    <xf numFmtId="0" fontId="6" fillId="0" borderId="17" xfId="0" applyFont="1" applyBorder="1"/>
    <xf numFmtId="0" fontId="6" fillId="0" borderId="35" xfId="0" applyFont="1" applyBorder="1"/>
    <xf numFmtId="0" fontId="6" fillId="0" borderId="30" xfId="0" applyFont="1" applyBorder="1"/>
    <xf numFmtId="0" fontId="28" fillId="2" borderId="22" xfId="0" applyFont="1" applyFill="1" applyBorder="1" applyAlignment="1">
      <alignment horizontal="left"/>
    </xf>
    <xf numFmtId="0" fontId="31" fillId="2" borderId="17" xfId="0" applyFont="1" applyFill="1" applyBorder="1" applyAlignment="1">
      <alignment horizontal="right"/>
    </xf>
    <xf numFmtId="0" fontId="0" fillId="4" borderId="12" xfId="0" applyFill="1" applyBorder="1"/>
    <xf numFmtId="0" fontId="6" fillId="0" borderId="10" xfId="0" applyFont="1" applyBorder="1"/>
    <xf numFmtId="0" fontId="6" fillId="0" borderId="9" xfId="0" applyFont="1" applyBorder="1" applyAlignment="1">
      <alignment horizontal="left"/>
    </xf>
    <xf numFmtId="9" fontId="0" fillId="0" borderId="0" xfId="0" applyNumberFormat="1" applyAlignment="1">
      <alignment horizontal="center"/>
    </xf>
    <xf numFmtId="0" fontId="0" fillId="4" borderId="9" xfId="0" applyFill="1" applyBorder="1"/>
    <xf numFmtId="0" fontId="0" fillId="4" borderId="19" xfId="0" applyFill="1" applyBorder="1"/>
    <xf numFmtId="0" fontId="28" fillId="2" borderId="17" xfId="0" applyFont="1" applyFill="1" applyBorder="1"/>
    <xf numFmtId="164" fontId="0" fillId="0" borderId="37" xfId="0" applyNumberFormat="1" applyBorder="1" applyAlignment="1">
      <alignment horizontal="left"/>
    </xf>
    <xf numFmtId="0" fontId="28" fillId="2" borderId="9" xfId="0" applyFont="1" applyFill="1" applyBorder="1" applyAlignment="1">
      <alignment vertical="center"/>
    </xf>
    <xf numFmtId="0" fontId="28" fillId="2" borderId="0" xfId="0" applyFont="1" applyFill="1"/>
    <xf numFmtId="0" fontId="34" fillId="2" borderId="0" xfId="0" applyFont="1" applyFill="1" applyAlignment="1">
      <alignment vertical="center" wrapText="1"/>
    </xf>
    <xf numFmtId="0" fontId="34" fillId="2" borderId="0" xfId="0" applyFont="1" applyFill="1"/>
    <xf numFmtId="0" fontId="34" fillId="2" borderId="10" xfId="0" applyFont="1" applyFill="1" applyBorder="1"/>
    <xf numFmtId="0" fontId="26" fillId="0" borderId="0" xfId="0" applyFont="1" applyAlignment="1">
      <alignment vertical="center"/>
    </xf>
    <xf numFmtId="0" fontId="26" fillId="0" borderId="0" xfId="0" applyFont="1"/>
    <xf numFmtId="0" fontId="29" fillId="0" borderId="0" xfId="0" applyFont="1"/>
    <xf numFmtId="0" fontId="18" fillId="0" borderId="0" xfId="0" applyFont="1" applyAlignment="1">
      <alignment horizontal="left"/>
    </xf>
    <xf numFmtId="0" fontId="26" fillId="0" borderId="0" xfId="0" applyFont="1" applyAlignment="1">
      <alignment horizontal="left"/>
    </xf>
    <xf numFmtId="0" fontId="0" fillId="0" borderId="34" xfId="0" applyBorder="1" applyAlignment="1">
      <alignment wrapText="1"/>
    </xf>
    <xf numFmtId="0" fontId="20" fillId="0" borderId="10" xfId="0" applyFont="1" applyBorder="1"/>
    <xf numFmtId="0" fontId="20" fillId="0" borderId="0" xfId="0" applyFont="1" applyAlignment="1">
      <alignment horizontal="left"/>
    </xf>
    <xf numFmtId="0" fontId="20" fillId="0" borderId="9" xfId="0" applyFont="1" applyBorder="1" applyAlignment="1">
      <alignment horizontal="left" vertical="top"/>
    </xf>
    <xf numFmtId="0" fontId="20" fillId="0" borderId="0" xfId="0" applyFont="1" applyAlignment="1">
      <alignment horizontal="left" vertical="top"/>
    </xf>
    <xf numFmtId="0" fontId="6" fillId="0" borderId="9" xfId="0" applyFont="1" applyBorder="1" applyAlignment="1">
      <alignment horizontal="left" vertical="center"/>
    </xf>
    <xf numFmtId="0" fontId="12" fillId="0" borderId="17" xfId="0" applyFont="1" applyBorder="1" applyAlignment="1">
      <alignment horizontal="left" vertical="top"/>
    </xf>
    <xf numFmtId="0" fontId="0" fillId="0" borderId="17" xfId="0" applyBorder="1" applyAlignment="1">
      <alignment horizontal="left"/>
    </xf>
    <xf numFmtId="0" fontId="0" fillId="0" borderId="17" xfId="0" applyBorder="1" applyAlignment="1">
      <alignment horizontal="left" vertical="top"/>
    </xf>
    <xf numFmtId="0" fontId="12" fillId="0" borderId="17" xfId="0" applyFont="1" applyBorder="1" applyAlignment="1">
      <alignment horizontal="left"/>
    </xf>
    <xf numFmtId="0" fontId="12" fillId="0" borderId="30" xfId="0" applyFont="1" applyBorder="1" applyAlignment="1">
      <alignment horizontal="left"/>
    </xf>
    <xf numFmtId="0" fontId="12" fillId="0" borderId="9" xfId="0" applyFont="1" applyBorder="1" applyAlignment="1">
      <alignment horizontal="left" vertical="top"/>
    </xf>
    <xf numFmtId="0" fontId="25" fillId="0" borderId="0" xfId="0" applyFont="1"/>
    <xf numFmtId="0" fontId="0" fillId="0" borderId="0" xfId="0" applyAlignment="1">
      <alignment horizontal="left" vertical="top"/>
    </xf>
    <xf numFmtId="0" fontId="19" fillId="0" borderId="0" xfId="0" applyFont="1" applyAlignment="1">
      <alignment horizontal="left"/>
    </xf>
    <xf numFmtId="0" fontId="25" fillId="0" borderId="12" xfId="0" applyFont="1" applyBorder="1"/>
    <xf numFmtId="0" fontId="20" fillId="0" borderId="12" xfId="0" applyFont="1" applyBorder="1"/>
    <xf numFmtId="169" fontId="20" fillId="0" borderId="10" xfId="0" applyNumberFormat="1" applyFont="1" applyBorder="1" applyAlignment="1">
      <alignment horizontal="right"/>
    </xf>
    <xf numFmtId="0" fontId="0" fillId="0" borderId="10" xfId="0" applyBorder="1" applyAlignment="1">
      <alignment horizontal="right"/>
    </xf>
    <xf numFmtId="0" fontId="26" fillId="0" borderId="10" xfId="0" applyFont="1" applyBorder="1" applyAlignment="1">
      <alignment horizontal="right"/>
    </xf>
    <xf numFmtId="1" fontId="0" fillId="0" borderId="10" xfId="0" applyNumberFormat="1" applyBorder="1"/>
    <xf numFmtId="0" fontId="12" fillId="0" borderId="0" xfId="0" applyFont="1" applyAlignment="1">
      <alignment horizontal="left" vertical="top"/>
    </xf>
    <xf numFmtId="0" fontId="20" fillId="0" borderId="38" xfId="0" applyFont="1" applyBorder="1"/>
    <xf numFmtId="1" fontId="0" fillId="0" borderId="0" xfId="0" applyNumberFormat="1" applyAlignment="1">
      <alignment horizontal="center"/>
    </xf>
    <xf numFmtId="1" fontId="0" fillId="0" borderId="0" xfId="0" applyNumberFormat="1"/>
    <xf numFmtId="169" fontId="0" fillId="0" borderId="0" xfId="0" applyNumberFormat="1" applyAlignment="1">
      <alignment horizontal="center"/>
    </xf>
    <xf numFmtId="164" fontId="0" fillId="0" borderId="10" xfId="0" applyNumberFormat="1" applyBorder="1"/>
    <xf numFmtId="0" fontId="28" fillId="2" borderId="9" xfId="0" applyFont="1" applyFill="1" applyBorder="1"/>
    <xf numFmtId="0" fontId="31" fillId="2" borderId="0" xfId="0" applyFont="1" applyFill="1"/>
    <xf numFmtId="0" fontId="0" fillId="2" borderId="0" xfId="0" applyFill="1"/>
    <xf numFmtId="0" fontId="0" fillId="2" borderId="10" xfId="0" applyFill="1" applyBorder="1"/>
    <xf numFmtId="0" fontId="31" fillId="2" borderId="30" xfId="0" applyFont="1" applyFill="1" applyBorder="1" applyAlignment="1">
      <alignment horizontal="right"/>
    </xf>
    <xf numFmtId="0" fontId="19" fillId="0" borderId="12" xfId="0" applyFont="1" applyBorder="1"/>
    <xf numFmtId="0" fontId="0" fillId="2" borderId="22" xfId="0" applyFill="1" applyBorder="1"/>
    <xf numFmtId="0" fontId="31" fillId="2" borderId="30" xfId="0" applyFont="1" applyFill="1" applyBorder="1" applyAlignment="1">
      <alignment horizontal="center"/>
    </xf>
    <xf numFmtId="0" fontId="0" fillId="0" borderId="12" xfId="0" applyBorder="1" applyAlignment="1">
      <alignment horizontal="right"/>
    </xf>
    <xf numFmtId="0" fontId="0" fillId="0" borderId="13" xfId="0" applyBorder="1" applyAlignment="1">
      <alignment horizontal="right"/>
    </xf>
    <xf numFmtId="0" fontId="12" fillId="0" borderId="22" xfId="0" applyFont="1" applyBorder="1"/>
    <xf numFmtId="0" fontId="20" fillId="0" borderId="17" xfId="0" applyFont="1" applyBorder="1" applyAlignment="1">
      <alignment horizontal="left" vertical="top"/>
    </xf>
    <xf numFmtId="0" fontId="6" fillId="0" borderId="34" xfId="0" applyFont="1" applyBorder="1"/>
    <xf numFmtId="0" fontId="17" fillId="0" borderId="0" xfId="0" applyFont="1" applyAlignment="1">
      <alignment vertical="center"/>
    </xf>
    <xf numFmtId="0" fontId="19" fillId="0" borderId="10" xfId="0" applyFont="1" applyBorder="1" applyAlignment="1">
      <alignment horizontal="center"/>
    </xf>
    <xf numFmtId="172" fontId="0" fillId="0" borderId="27" xfId="0" applyNumberFormat="1" applyBorder="1"/>
    <xf numFmtId="0" fontId="8" fillId="0" borderId="7" xfId="71" applyBorder="1" applyAlignment="1">
      <alignment horizontal="center"/>
    </xf>
    <xf numFmtId="0" fontId="8" fillId="0" borderId="8" xfId="71" applyBorder="1"/>
    <xf numFmtId="0" fontId="16" fillId="0" borderId="16" xfId="0" applyFont="1" applyBorder="1"/>
    <xf numFmtId="172" fontId="0" fillId="0" borderId="28" xfId="0" applyNumberFormat="1" applyBorder="1"/>
    <xf numFmtId="0" fontId="0" fillId="0" borderId="25" xfId="0" applyBorder="1"/>
    <xf numFmtId="0" fontId="8" fillId="0" borderId="25" xfId="71" applyBorder="1"/>
    <xf numFmtId="0" fontId="2" fillId="4" borderId="27" xfId="0" applyFont="1" applyFill="1" applyBorder="1" applyAlignment="1" applyProtection="1">
      <alignment shrinkToFit="1"/>
      <protection locked="0"/>
    </xf>
    <xf numFmtId="0" fontId="6" fillId="1" borderId="40" xfId="23" applyFont="1" applyFill="1" applyBorder="1" applyAlignment="1">
      <alignment horizontal="center"/>
    </xf>
    <xf numFmtId="0" fontId="6" fillId="1" borderId="41" xfId="23" applyFont="1" applyFill="1" applyBorder="1" applyAlignment="1">
      <alignment horizontal="center"/>
    </xf>
    <xf numFmtId="0" fontId="7" fillId="2" borderId="22" xfId="0" applyFont="1" applyFill="1" applyBorder="1" applyAlignment="1">
      <alignment horizontal="left"/>
    </xf>
    <xf numFmtId="0" fontId="7" fillId="2" borderId="17" xfId="0" applyFont="1" applyFill="1" applyBorder="1" applyAlignment="1">
      <alignment horizontal="left"/>
    </xf>
    <xf numFmtId="0" fontId="10" fillId="0" borderId="17" xfId="0" applyFont="1" applyBorder="1" applyAlignment="1">
      <alignment horizontal="left"/>
    </xf>
    <xf numFmtId="0" fontId="29" fillId="0" borderId="17" xfId="0" applyFont="1" applyBorder="1" applyAlignment="1">
      <alignment horizontal="center"/>
    </xf>
    <xf numFmtId="0" fontId="20" fillId="0" borderId="19" xfId="0" applyFont="1" applyBorder="1" applyAlignment="1">
      <alignment horizontal="left" vertical="top"/>
    </xf>
    <xf numFmtId="0" fontId="20" fillId="0" borderId="12" xfId="0" applyFont="1" applyBorder="1" applyAlignment="1">
      <alignment horizontal="left" vertical="top"/>
    </xf>
    <xf numFmtId="0" fontId="6" fillId="0" borderId="12" xfId="0" applyFont="1" applyBorder="1" applyAlignment="1">
      <alignment horizontal="right"/>
    </xf>
    <xf numFmtId="0" fontId="20" fillId="0" borderId="12" xfId="0" applyFont="1" applyBorder="1" applyAlignment="1">
      <alignment horizontal="center" vertical="top"/>
    </xf>
    <xf numFmtId="0" fontId="0" fillId="4" borderId="27" xfId="0" applyFill="1" applyBorder="1" applyAlignment="1" applyProtection="1">
      <alignment horizontal="center" shrinkToFit="1"/>
      <protection locked="0"/>
    </xf>
    <xf numFmtId="0" fontId="6" fillId="0" borderId="19" xfId="0" applyFont="1" applyBorder="1" applyAlignment="1">
      <alignment horizontal="center" vertical="center"/>
    </xf>
    <xf numFmtId="0" fontId="6" fillId="0" borderId="12" xfId="0" applyFont="1" applyBorder="1" applyAlignment="1">
      <alignment horizontal="center" vertical="center"/>
    </xf>
    <xf numFmtId="9" fontId="6" fillId="0" borderId="12" xfId="0" applyNumberFormat="1" applyFont="1" applyBorder="1" applyAlignment="1">
      <alignment horizontal="center"/>
    </xf>
    <xf numFmtId="9" fontId="16" fillId="0" borderId="12" xfId="0" applyNumberFormat="1" applyFont="1" applyBorder="1" applyAlignment="1">
      <alignment horizontal="center"/>
    </xf>
    <xf numFmtId="0" fontId="12" fillId="0" borderId="12" xfId="0" applyFont="1" applyBorder="1" applyAlignment="1">
      <alignment horizontal="right"/>
    </xf>
    <xf numFmtId="0" fontId="12" fillId="0" borderId="42" xfId="0" applyFont="1" applyBorder="1"/>
    <xf numFmtId="0" fontId="12" fillId="0" borderId="43" xfId="0" applyFont="1" applyBorder="1"/>
    <xf numFmtId="0" fontId="0" fillId="0" borderId="43" xfId="0" applyBorder="1" applyAlignment="1">
      <alignment horizontal="center"/>
    </xf>
    <xf numFmtId="0" fontId="0" fillId="0" borderId="44" xfId="0" applyBorder="1" applyAlignment="1">
      <alignment horizontal="center"/>
    </xf>
    <xf numFmtId="0" fontId="12" fillId="0" borderId="18" xfId="0" applyFont="1" applyBorder="1"/>
    <xf numFmtId="49" fontId="0" fillId="0" borderId="0" xfId="0" applyNumberFormat="1" applyAlignment="1">
      <alignment vertical="top"/>
    </xf>
    <xf numFmtId="0" fontId="10" fillId="0" borderId="17" xfId="0" applyFont="1" applyBorder="1" applyAlignment="1" applyProtection="1">
      <alignment vertical="center"/>
      <protection hidden="1"/>
    </xf>
    <xf numFmtId="9" fontId="20" fillId="4" borderId="26" xfId="73" applyFont="1" applyFill="1" applyBorder="1" applyAlignment="1" applyProtection="1">
      <alignment horizontal="center" shrinkToFit="1"/>
      <protection locked="0"/>
    </xf>
    <xf numFmtId="171" fontId="20" fillId="4" borderId="33" xfId="73" applyNumberFormat="1" applyFont="1" applyFill="1" applyBorder="1" applyAlignment="1" applyProtection="1">
      <alignment horizontal="center" shrinkToFit="1"/>
      <protection locked="0"/>
    </xf>
    <xf numFmtId="0" fontId="20" fillId="4" borderId="27" xfId="1" applyNumberFormat="1" applyFont="1" applyFill="1" applyBorder="1" applyAlignment="1" applyProtection="1">
      <alignment horizontal="center" vertical="center" shrinkToFit="1"/>
      <protection locked="0"/>
    </xf>
    <xf numFmtId="172" fontId="20" fillId="4" borderId="27" xfId="1" applyNumberFormat="1" applyFont="1" applyFill="1" applyBorder="1" applyAlignment="1" applyProtection="1">
      <alignment shrinkToFit="1"/>
      <protection locked="0"/>
    </xf>
    <xf numFmtId="172" fontId="20" fillId="4" borderId="45" xfId="1" applyNumberFormat="1" applyFont="1" applyFill="1" applyBorder="1" applyAlignment="1" applyProtection="1">
      <alignment shrinkToFit="1"/>
      <protection locked="0"/>
    </xf>
    <xf numFmtId="172" fontId="20" fillId="4" borderId="46" xfId="1" applyNumberFormat="1" applyFont="1" applyFill="1" applyBorder="1" applyAlignment="1" applyProtection="1">
      <alignment shrinkToFit="1"/>
      <protection locked="0"/>
    </xf>
    <xf numFmtId="9" fontId="20" fillId="4" borderId="27" xfId="73" applyFont="1" applyFill="1" applyBorder="1" applyAlignment="1" applyProtection="1">
      <alignment horizontal="center" shrinkToFit="1"/>
      <protection locked="0"/>
    </xf>
    <xf numFmtId="172" fontId="20" fillId="4" borderId="47" xfId="1" applyNumberFormat="1" applyFont="1" applyFill="1" applyBorder="1" applyAlignment="1" applyProtection="1">
      <alignment shrinkToFit="1"/>
      <protection locked="0"/>
    </xf>
    <xf numFmtId="172" fontId="20" fillId="0" borderId="27" xfId="1" applyNumberFormat="1" applyFont="1" applyBorder="1"/>
    <xf numFmtId="5" fontId="20" fillId="0" borderId="27" xfId="1" applyNumberFormat="1" applyFont="1" applyBorder="1"/>
    <xf numFmtId="172" fontId="20" fillId="0" borderId="45" xfId="1" applyNumberFormat="1" applyFont="1" applyBorder="1"/>
    <xf numFmtId="5" fontId="20" fillId="0" borderId="45" xfId="1" applyNumberFormat="1" applyFont="1" applyBorder="1"/>
    <xf numFmtId="0" fontId="61" fillId="0" borderId="0" xfId="0" applyFont="1"/>
    <xf numFmtId="0" fontId="0" fillId="0" borderId="10" xfId="0" applyBorder="1" applyAlignment="1">
      <alignment horizontal="center"/>
    </xf>
    <xf numFmtId="0" fontId="8" fillId="0" borderId="22" xfId="71" applyBorder="1" applyAlignment="1">
      <alignment horizontal="left"/>
    </xf>
    <xf numFmtId="5" fontId="62" fillId="0" borderId="17" xfId="1" applyNumberFormat="1" applyFont="1" applyBorder="1"/>
    <xf numFmtId="5" fontId="62" fillId="0" borderId="30" xfId="1" applyNumberFormat="1" applyFont="1" applyBorder="1"/>
    <xf numFmtId="5" fontId="20" fillId="0" borderId="0" xfId="1" applyNumberFormat="1" applyFont="1"/>
    <xf numFmtId="5" fontId="20" fillId="0" borderId="10" xfId="1" applyNumberFormat="1" applyFont="1" applyBorder="1"/>
    <xf numFmtId="9" fontId="26" fillId="0" borderId="9" xfId="71" applyNumberFormat="1" applyFont="1" applyBorder="1"/>
    <xf numFmtId="174" fontId="26" fillId="0" borderId="0" xfId="8" applyNumberFormat="1" applyFont="1"/>
    <xf numFmtId="174" fontId="26" fillId="0" borderId="10" xfId="8" applyNumberFormat="1" applyFont="1" applyBorder="1"/>
    <xf numFmtId="0" fontId="4" fillId="0" borderId="10" xfId="17" applyBorder="1" applyAlignment="1">
      <alignment horizontal="left"/>
    </xf>
    <xf numFmtId="0" fontId="4" fillId="0" borderId="0" xfId="17"/>
    <xf numFmtId="9" fontId="26" fillId="0" borderId="19" xfId="71" applyNumberFormat="1" applyFont="1" applyBorder="1"/>
    <xf numFmtId="174" fontId="26" fillId="0" borderId="12" xfId="8" applyNumberFormat="1" applyFont="1" applyBorder="1"/>
    <xf numFmtId="174" fontId="26" fillId="0" borderId="13" xfId="8" applyNumberFormat="1" applyFont="1" applyBorder="1"/>
    <xf numFmtId="9" fontId="20" fillId="0" borderId="27" xfId="73" applyFont="1" applyBorder="1" applyAlignment="1">
      <alignment horizontal="center"/>
    </xf>
    <xf numFmtId="172" fontId="20" fillId="0" borderId="28" xfId="1" applyNumberFormat="1" applyFont="1" applyBorder="1"/>
    <xf numFmtId="10" fontId="20" fillId="0" borderId="9" xfId="1" applyNumberFormat="1" applyFont="1" applyBorder="1" applyAlignment="1">
      <alignment horizontal="center"/>
    </xf>
    <xf numFmtId="0" fontId="20" fillId="0" borderId="27" xfId="71" applyFont="1" applyBorder="1" applyAlignment="1">
      <alignment horizontal="center"/>
    </xf>
    <xf numFmtId="170" fontId="39" fillId="0" borderId="0" xfId="1" applyNumberFormat="1" applyFont="1"/>
    <xf numFmtId="5" fontId="20" fillId="0" borderId="9" xfId="71" applyNumberFormat="1" applyFont="1" applyBorder="1"/>
    <xf numFmtId="0" fontId="8" fillId="0" borderId="10" xfId="71" applyBorder="1"/>
    <xf numFmtId="0" fontId="8" fillId="0" borderId="9" xfId="71" applyBorder="1"/>
    <xf numFmtId="0" fontId="8" fillId="0" borderId="0" xfId="71" applyAlignment="1">
      <alignment horizontal="center"/>
    </xf>
    <xf numFmtId="9" fontId="8" fillId="0" borderId="9" xfId="71" applyNumberFormat="1" applyBorder="1"/>
    <xf numFmtId="0" fontId="20" fillId="0" borderId="0" xfId="71" applyFont="1" applyAlignment="1">
      <alignment horizontal="center"/>
    </xf>
    <xf numFmtId="0" fontId="20" fillId="0" borderId="45" xfId="71" applyFont="1" applyBorder="1" applyAlignment="1">
      <alignment horizontal="center"/>
    </xf>
    <xf numFmtId="172" fontId="20" fillId="0" borderId="48" xfId="1" applyNumberFormat="1" applyFont="1" applyBorder="1"/>
    <xf numFmtId="9" fontId="8" fillId="0" borderId="19" xfId="71" applyNumberFormat="1" applyBorder="1"/>
    <xf numFmtId="0" fontId="8" fillId="0" borderId="12" xfId="71" applyBorder="1"/>
    <xf numFmtId="0" fontId="8" fillId="0" borderId="13" xfId="71" applyBorder="1"/>
    <xf numFmtId="0" fontId="8" fillId="0" borderId="29" xfId="71" applyBorder="1"/>
    <xf numFmtId="0" fontId="8" fillId="0" borderId="21" xfId="71" applyBorder="1"/>
    <xf numFmtId="0" fontId="12" fillId="0" borderId="21" xfId="71" applyFont="1" applyBorder="1" applyAlignment="1">
      <alignment horizontal="left"/>
    </xf>
    <xf numFmtId="9" fontId="20" fillId="0" borderId="46" xfId="73" applyFont="1" applyBorder="1" applyAlignment="1">
      <alignment horizontal="center"/>
    </xf>
    <xf numFmtId="172" fontId="20" fillId="0" borderId="46" xfId="1" applyNumberFormat="1" applyFont="1" applyBorder="1"/>
    <xf numFmtId="172" fontId="20" fillId="0" borderId="49" xfId="1" applyNumberFormat="1" applyFont="1" applyBorder="1"/>
    <xf numFmtId="9" fontId="47" fillId="0" borderId="22" xfId="71" applyNumberFormat="1" applyFont="1" applyBorder="1"/>
    <xf numFmtId="0" fontId="8" fillId="0" borderId="30" xfId="71" applyBorder="1"/>
    <xf numFmtId="164" fontId="45" fillId="0" borderId="0" xfId="71" applyNumberFormat="1" applyFont="1"/>
    <xf numFmtId="164" fontId="45" fillId="0" borderId="9" xfId="71" applyNumberFormat="1" applyFont="1" applyBorder="1"/>
    <xf numFmtId="0" fontId="8" fillId="0" borderId="10" xfId="71" applyBorder="1" applyAlignment="1">
      <alignment horizontal="center"/>
    </xf>
    <xf numFmtId="164" fontId="26" fillId="0" borderId="9" xfId="71" applyNumberFormat="1" applyFont="1" applyBorder="1"/>
    <xf numFmtId="1" fontId="8" fillId="0" borderId="0" xfId="71" applyNumberFormat="1"/>
    <xf numFmtId="0" fontId="8" fillId="0" borderId="4" xfId="71" applyBorder="1"/>
    <xf numFmtId="170" fontId="39" fillId="0" borderId="4" xfId="1" applyNumberFormat="1" applyFont="1" applyBorder="1"/>
    <xf numFmtId="172" fontId="0" fillId="0" borderId="45" xfId="0" applyNumberFormat="1" applyBorder="1"/>
    <xf numFmtId="0" fontId="8" fillId="0" borderId="32" xfId="71" applyBorder="1"/>
    <xf numFmtId="0" fontId="19" fillId="0" borderId="15" xfId="0" applyFont="1" applyBorder="1" applyAlignment="1">
      <alignment horizontal="center"/>
    </xf>
    <xf numFmtId="0" fontId="48" fillId="0" borderId="9" xfId="0" applyFont="1" applyBorder="1" applyAlignment="1">
      <alignment horizontal="center"/>
    </xf>
    <xf numFmtId="0" fontId="48" fillId="0" borderId="0" xfId="0" applyFont="1" applyAlignment="1">
      <alignment horizontal="left"/>
    </xf>
    <xf numFmtId="0" fontId="48" fillId="0" borderId="0" xfId="0" applyFont="1" applyAlignment="1">
      <alignment horizontal="center"/>
    </xf>
    <xf numFmtId="0" fontId="48" fillId="0" borderId="4" xfId="0" applyFont="1" applyBorder="1" applyAlignment="1">
      <alignment horizontal="center"/>
    </xf>
    <xf numFmtId="0" fontId="0" fillId="0" borderId="15" xfId="0" applyBorder="1"/>
    <xf numFmtId="0" fontId="44" fillId="0" borderId="9" xfId="71" applyFont="1" applyBorder="1" applyAlignment="1">
      <alignment horizontal="center"/>
    </xf>
    <xf numFmtId="9" fontId="8" fillId="0" borderId="9" xfId="71" applyNumberFormat="1" applyBorder="1" applyAlignment="1">
      <alignment horizontal="center"/>
    </xf>
    <xf numFmtId="0" fontId="28" fillId="2" borderId="29" xfId="71" applyFont="1" applyFill="1" applyBorder="1" applyAlignment="1">
      <alignment horizontal="left"/>
    </xf>
    <xf numFmtId="0" fontId="28" fillId="2" borderId="21" xfId="71" applyFont="1" applyFill="1" applyBorder="1" applyAlignment="1">
      <alignment horizontal="left"/>
    </xf>
    <xf numFmtId="0" fontId="28" fillId="2" borderId="32" xfId="71" applyFont="1" applyFill="1" applyBorder="1" applyAlignment="1">
      <alignment horizontal="left"/>
    </xf>
    <xf numFmtId="0" fontId="0" fillId="0" borderId="50" xfId="0" applyBorder="1" applyAlignment="1">
      <alignment horizontal="center"/>
    </xf>
    <xf numFmtId="0" fontId="0" fillId="0" borderId="45" xfId="0" applyBorder="1" applyAlignment="1">
      <alignment horizontal="center"/>
    </xf>
    <xf numFmtId="0" fontId="0" fillId="0" borderId="48" xfId="0" applyBorder="1" applyAlignment="1">
      <alignment horizontal="center"/>
    </xf>
    <xf numFmtId="0" fontId="0" fillId="0" borderId="23" xfId="0" applyBorder="1" applyAlignment="1">
      <alignment horizontal="center"/>
    </xf>
    <xf numFmtId="0" fontId="0" fillId="0" borderId="11" xfId="0" applyBorder="1" applyAlignment="1">
      <alignment horizontal="center"/>
    </xf>
    <xf numFmtId="0" fontId="0" fillId="0" borderId="24" xfId="0" applyBorder="1" applyAlignment="1">
      <alignment horizontal="center"/>
    </xf>
    <xf numFmtId="0" fontId="0" fillId="0" borderId="46" xfId="0" applyBorder="1" applyAlignment="1">
      <alignment horizontal="center"/>
    </xf>
    <xf numFmtId="0" fontId="0" fillId="0" borderId="49" xfId="0" applyBorder="1" applyAlignment="1">
      <alignment horizontal="center"/>
    </xf>
    <xf numFmtId="0" fontId="20" fillId="0" borderId="51" xfId="71" applyFont="1" applyBorder="1" applyAlignment="1">
      <alignment horizontal="center"/>
    </xf>
    <xf numFmtId="0" fontId="20" fillId="0" borderId="46" xfId="71" applyFont="1" applyBorder="1" applyAlignment="1">
      <alignment horizontal="center"/>
    </xf>
    <xf numFmtId="0" fontId="0" fillId="0" borderId="27" xfId="0" applyBorder="1" applyAlignment="1">
      <alignment horizontal="center"/>
    </xf>
    <xf numFmtId="9" fontId="0" fillId="0" borderId="28" xfId="73" applyFont="1" applyBorder="1" applyAlignment="1">
      <alignment horizontal="center"/>
    </xf>
    <xf numFmtId="0" fontId="2" fillId="0" borderId="27" xfId="0" applyFont="1" applyBorder="1" applyAlignment="1">
      <alignment horizontal="center"/>
    </xf>
    <xf numFmtId="0" fontId="0" fillId="0" borderId="52" xfId="0" applyBorder="1" applyAlignment="1">
      <alignment horizontal="right"/>
    </xf>
    <xf numFmtId="0" fontId="0" fillId="0" borderId="47" xfId="0" applyBorder="1" applyAlignment="1">
      <alignment horizontal="center"/>
    </xf>
    <xf numFmtId="9" fontId="0" fillId="0" borderId="53" xfId="73" applyFont="1" applyBorder="1" applyAlignment="1">
      <alignment horizontal="center"/>
    </xf>
    <xf numFmtId="0" fontId="0" fillId="0" borderId="19" xfId="0" applyBorder="1" applyAlignment="1">
      <alignment horizontal="right"/>
    </xf>
    <xf numFmtId="0" fontId="0" fillId="0" borderId="54" xfId="0" applyBorder="1" applyAlignment="1">
      <alignment horizontal="center"/>
    </xf>
    <xf numFmtId="9" fontId="0" fillId="0" borderId="55" xfId="73" applyFont="1" applyBorder="1" applyAlignment="1">
      <alignment horizontal="center"/>
    </xf>
    <xf numFmtId="9" fontId="8" fillId="0" borderId="0" xfId="71" applyNumberFormat="1" applyAlignment="1">
      <alignment horizontal="center"/>
    </xf>
    <xf numFmtId="9" fontId="8" fillId="0" borderId="19" xfId="71" applyNumberFormat="1" applyBorder="1" applyAlignment="1">
      <alignment horizontal="center"/>
    </xf>
    <xf numFmtId="5" fontId="0" fillId="4" borderId="46" xfId="0" applyNumberFormat="1" applyFill="1" applyBorder="1" applyAlignment="1" applyProtection="1">
      <alignment shrinkToFit="1"/>
      <protection locked="0"/>
    </xf>
    <xf numFmtId="5" fontId="0" fillId="4" borderId="27" xfId="0" applyNumberFormat="1" applyFill="1" applyBorder="1" applyAlignment="1" applyProtection="1">
      <alignment shrinkToFit="1"/>
      <protection locked="0"/>
    </xf>
    <xf numFmtId="0" fontId="20" fillId="1" borderId="27" xfId="1" applyNumberFormat="1" applyFont="1" applyFill="1" applyBorder="1" applyAlignment="1">
      <alignment horizontal="center" vertical="center"/>
    </xf>
    <xf numFmtId="0" fontId="20" fillId="1" borderId="27" xfId="71" applyFont="1" applyFill="1" applyBorder="1" applyAlignment="1">
      <alignment horizontal="center"/>
    </xf>
    <xf numFmtId="0" fontId="20" fillId="1" borderId="45" xfId="71" applyFont="1" applyFill="1" applyBorder="1" applyAlignment="1">
      <alignment horizontal="center"/>
    </xf>
    <xf numFmtId="0" fontId="20" fillId="1" borderId="45" xfId="1" applyNumberFormat="1" applyFont="1" applyFill="1" applyBorder="1" applyAlignment="1">
      <alignment horizontal="center" vertical="center"/>
    </xf>
    <xf numFmtId="0" fontId="19" fillId="0" borderId="21" xfId="1" applyNumberFormat="1" applyFont="1" applyBorder="1" applyAlignment="1">
      <alignment horizontal="center" vertical="center"/>
    </xf>
    <xf numFmtId="0" fontId="44" fillId="0" borderId="21" xfId="71" applyFont="1" applyBorder="1"/>
    <xf numFmtId="172" fontId="19" fillId="0" borderId="21" xfId="71" applyNumberFormat="1" applyFont="1" applyBorder="1"/>
    <xf numFmtId="172" fontId="19" fillId="0" borderId="32" xfId="1" applyNumberFormat="1" applyFont="1" applyBorder="1"/>
    <xf numFmtId="172" fontId="70" fillId="0" borderId="21" xfId="71" applyNumberFormat="1" applyFont="1" applyBorder="1"/>
    <xf numFmtId="172" fontId="0" fillId="4" borderId="27" xfId="0" applyNumberFormat="1" applyFill="1" applyBorder="1" applyAlignment="1" applyProtection="1">
      <alignment shrinkToFit="1"/>
      <protection locked="0"/>
    </xf>
    <xf numFmtId="172" fontId="0" fillId="4" borderId="45" xfId="0" applyNumberFormat="1" applyFill="1" applyBorder="1" applyAlignment="1" applyProtection="1">
      <alignment shrinkToFit="1"/>
      <protection locked="0"/>
    </xf>
    <xf numFmtId="172" fontId="0" fillId="4" borderId="47" xfId="0" applyNumberFormat="1" applyFill="1" applyBorder="1" applyAlignment="1" applyProtection="1">
      <alignment shrinkToFit="1"/>
      <protection locked="0"/>
    </xf>
    <xf numFmtId="0" fontId="0" fillId="0" borderId="33" xfId="0" applyBorder="1" applyAlignment="1">
      <alignment shrinkToFit="1"/>
    </xf>
    <xf numFmtId="0" fontId="20" fillId="0" borderId="7" xfId="0" applyFont="1" applyBorder="1" applyAlignment="1">
      <alignment horizontal="left"/>
    </xf>
    <xf numFmtId="0" fontId="8" fillId="0" borderId="7" xfId="0" applyFont="1" applyBorder="1"/>
    <xf numFmtId="0" fontId="58" fillId="0" borderId="7" xfId="0" applyFont="1" applyBorder="1"/>
    <xf numFmtId="0" fontId="49" fillId="0" borderId="8" xfId="0" applyFont="1" applyBorder="1" applyAlignment="1">
      <alignment horizontal="right"/>
    </xf>
    <xf numFmtId="9" fontId="20" fillId="0" borderId="26" xfId="73" applyFont="1" applyBorder="1" applyAlignment="1">
      <alignment horizontal="center"/>
    </xf>
    <xf numFmtId="171" fontId="20" fillId="0" borderId="27" xfId="73" applyNumberFormat="1" applyFont="1" applyBorder="1" applyAlignment="1">
      <alignment horizontal="center"/>
    </xf>
    <xf numFmtId="172" fontId="0" fillId="0" borderId="11" xfId="0" applyNumberFormat="1" applyBorder="1"/>
    <xf numFmtId="0" fontId="20" fillId="0" borderId="9" xfId="71" applyFont="1" applyBorder="1"/>
    <xf numFmtId="9" fontId="8" fillId="0" borderId="4" xfId="73" applyFont="1" applyBorder="1" applyAlignment="1">
      <alignment horizontal="center"/>
    </xf>
    <xf numFmtId="172" fontId="0" fillId="0" borderId="4" xfId="0" applyNumberFormat="1" applyBorder="1"/>
    <xf numFmtId="0" fontId="8" fillId="0" borderId="38" xfId="71" applyBorder="1"/>
    <xf numFmtId="0" fontId="8" fillId="0" borderId="5" xfId="71" applyBorder="1"/>
    <xf numFmtId="0" fontId="8" fillId="0" borderId="33" xfId="71" applyBorder="1"/>
    <xf numFmtId="0" fontId="20" fillId="0" borderId="33" xfId="71" applyFont="1" applyBorder="1" applyAlignment="1">
      <alignment horizontal="center"/>
    </xf>
    <xf numFmtId="172" fontId="0" fillId="0" borderId="48" xfId="0" applyNumberFormat="1" applyBorder="1"/>
    <xf numFmtId="172" fontId="0" fillId="0" borderId="33" xfId="0" applyNumberFormat="1" applyBorder="1"/>
    <xf numFmtId="0" fontId="8" fillId="0" borderId="19" xfId="71" applyBorder="1"/>
    <xf numFmtId="0" fontId="8" fillId="0" borderId="56" xfId="71" applyBorder="1"/>
    <xf numFmtId="0" fontId="20" fillId="0" borderId="47" xfId="71" applyFont="1" applyBorder="1" applyAlignment="1">
      <alignment horizontal="center"/>
    </xf>
    <xf numFmtId="172" fontId="0" fillId="0" borderId="47" xfId="0" applyNumberFormat="1" applyBorder="1"/>
    <xf numFmtId="0" fontId="0" fillId="0" borderId="54" xfId="0" applyBorder="1"/>
    <xf numFmtId="172" fontId="0" fillId="0" borderId="53" xfId="0" applyNumberFormat="1" applyBorder="1"/>
    <xf numFmtId="0" fontId="19" fillId="0" borderId="4" xfId="0" applyFont="1" applyBorder="1" applyAlignment="1">
      <alignment horizontal="center"/>
    </xf>
    <xf numFmtId="3" fontId="19" fillId="0" borderId="0" xfId="0" applyNumberFormat="1" applyFont="1" applyAlignment="1">
      <alignment horizontal="center"/>
    </xf>
    <xf numFmtId="0" fontId="12" fillId="0" borderId="9" xfId="0" applyFont="1" applyBorder="1" applyAlignment="1">
      <alignment horizontal="left"/>
    </xf>
    <xf numFmtId="0" fontId="53" fillId="0" borderId="0" xfId="17" applyFont="1" applyAlignment="1">
      <alignment horizontal="left"/>
    </xf>
    <xf numFmtId="0" fontId="26" fillId="0" borderId="9" xfId="0" applyFont="1" applyBorder="1"/>
    <xf numFmtId="0" fontId="17" fillId="0" borderId="0" xfId="0" applyFont="1" applyAlignment="1">
      <alignment horizontal="center"/>
    </xf>
    <xf numFmtId="0" fontId="0" fillId="0" borderId="29" xfId="0" applyBorder="1" applyAlignment="1">
      <alignment horizontal="center"/>
    </xf>
    <xf numFmtId="10" fontId="0" fillId="0" borderId="29" xfId="0" applyNumberFormat="1" applyBorder="1" applyAlignment="1">
      <alignment horizontal="center"/>
    </xf>
    <xf numFmtId="0" fontId="0" fillId="0" borderId="21" xfId="0" applyBorder="1" applyAlignment="1">
      <alignment horizontal="center"/>
    </xf>
    <xf numFmtId="10" fontId="0" fillId="0" borderId="1" xfId="0" applyNumberFormat="1" applyBorder="1" applyAlignment="1">
      <alignment horizontal="center"/>
    </xf>
    <xf numFmtId="10" fontId="0" fillId="0" borderId="2" xfId="0" applyNumberFormat="1" applyBorder="1" applyAlignment="1">
      <alignment horizontal="center"/>
    </xf>
    <xf numFmtId="10" fontId="0" fillId="0" borderId="47" xfId="0" applyNumberFormat="1" applyBorder="1" applyAlignment="1">
      <alignment horizontal="center"/>
    </xf>
    <xf numFmtId="10" fontId="0" fillId="0" borderId="62" xfId="0" applyNumberFormat="1" applyBorder="1" applyAlignment="1">
      <alignment horizontal="center"/>
    </xf>
    <xf numFmtId="0" fontId="0" fillId="0" borderId="53" xfId="0" applyBorder="1"/>
    <xf numFmtId="0" fontId="0" fillId="0" borderId="58" xfId="0" applyBorder="1" applyAlignment="1">
      <alignment horizontal="center"/>
    </xf>
    <xf numFmtId="0" fontId="20" fillId="0" borderId="63" xfId="0" applyFont="1" applyBorder="1" applyAlignment="1">
      <alignment horizontal="right"/>
    </xf>
    <xf numFmtId="170" fontId="20" fillId="0" borderId="0" xfId="1" applyNumberFormat="1" applyFont="1"/>
    <xf numFmtId="6" fontId="19" fillId="0" borderId="67" xfId="0" applyNumberFormat="1" applyFont="1" applyBorder="1" applyAlignment="1">
      <alignment vertical="center" shrinkToFit="1"/>
    </xf>
    <xf numFmtId="0" fontId="59" fillId="0" borderId="9" xfId="0" applyFont="1" applyBorder="1" applyAlignment="1">
      <alignment horizontal="center" vertical="center"/>
    </xf>
    <xf numFmtId="0" fontId="20" fillId="0" borderId="10" xfId="0" applyFont="1" applyBorder="1" applyAlignment="1">
      <alignment vertical="center"/>
    </xf>
    <xf numFmtId="0" fontId="19" fillId="0" borderId="67" xfId="0" applyFont="1" applyBorder="1" applyAlignment="1">
      <alignment horizontal="center" vertical="center"/>
    </xf>
    <xf numFmtId="0" fontId="19" fillId="0" borderId="32" xfId="0" applyFont="1" applyBorder="1" applyAlignment="1">
      <alignment horizontal="center" vertical="center"/>
    </xf>
    <xf numFmtId="0" fontId="19" fillId="0" borderId="32" xfId="0" applyFont="1" applyBorder="1" applyAlignment="1">
      <alignment vertical="center"/>
    </xf>
    <xf numFmtId="0" fontId="19" fillId="0" borderId="41" xfId="0" applyFont="1" applyBorder="1" applyAlignment="1">
      <alignment horizontal="center" vertical="center"/>
    </xf>
    <xf numFmtId="0" fontId="19" fillId="0" borderId="13" xfId="0" applyFont="1" applyBorder="1" applyAlignment="1">
      <alignment horizontal="center" vertical="center"/>
    </xf>
    <xf numFmtId="0" fontId="20" fillId="0" borderId="5" xfId="0" applyFont="1" applyBorder="1" applyAlignment="1">
      <alignment vertical="center"/>
    </xf>
    <xf numFmtId="0" fontId="20" fillId="0" borderId="29" xfId="0" applyFont="1" applyBorder="1" applyAlignment="1">
      <alignment vertical="center"/>
    </xf>
    <xf numFmtId="0" fontId="20" fillId="0" borderId="21" xfId="0" applyFont="1" applyBorder="1" applyAlignment="1">
      <alignment vertical="center"/>
    </xf>
    <xf numFmtId="0" fontId="19" fillId="0" borderId="21" xfId="0" applyFont="1" applyBorder="1" applyAlignment="1">
      <alignment horizontal="right" vertical="center"/>
    </xf>
    <xf numFmtId="0" fontId="20" fillId="0" borderId="42" xfId="0" applyFont="1" applyBorder="1" applyAlignment="1">
      <alignment vertical="center"/>
    </xf>
    <xf numFmtId="0" fontId="20" fillId="0" borderId="72" xfId="0" applyFont="1" applyBorder="1" applyAlignment="1">
      <alignment horizontal="center" vertical="center"/>
    </xf>
    <xf numFmtId="0" fontId="20" fillId="0" borderId="44" xfId="0" applyFont="1" applyBorder="1" applyAlignment="1">
      <alignment vertical="center"/>
    </xf>
    <xf numFmtId="3" fontId="20" fillId="0" borderId="40" xfId="0" applyNumberFormat="1" applyFont="1" applyBorder="1" applyAlignment="1">
      <alignment horizontal="left" vertical="top" wrapText="1"/>
    </xf>
    <xf numFmtId="0" fontId="20" fillId="0" borderId="18" xfId="0" applyFont="1" applyBorder="1" applyAlignment="1">
      <alignment vertical="center"/>
    </xf>
    <xf numFmtId="0" fontId="20" fillId="0" borderId="27" xfId="0" applyFont="1" applyBorder="1" applyAlignment="1">
      <alignment horizontal="center" vertical="center"/>
    </xf>
    <xf numFmtId="0" fontId="20" fillId="0" borderId="8" xfId="0" applyFont="1" applyBorder="1" applyAlignment="1">
      <alignment vertical="center"/>
    </xf>
    <xf numFmtId="3" fontId="20" fillId="0" borderId="20" xfId="0" applyNumberFormat="1" applyFont="1" applyBorder="1" applyAlignment="1">
      <alignment horizontal="left" vertical="top" wrapText="1"/>
    </xf>
    <xf numFmtId="0" fontId="20" fillId="0" borderId="73" xfId="0" applyFont="1" applyBorder="1" applyAlignment="1">
      <alignment vertical="center"/>
    </xf>
    <xf numFmtId="0" fontId="20" fillId="0" borderId="47" xfId="0" applyFont="1" applyBorder="1" applyAlignment="1">
      <alignment horizontal="center" vertical="center"/>
    </xf>
    <xf numFmtId="0" fontId="20" fillId="0" borderId="74" xfId="0" applyFont="1" applyBorder="1" applyAlignment="1">
      <alignment vertical="center"/>
    </xf>
    <xf numFmtId="0" fontId="20" fillId="0" borderId="12" xfId="0" applyFont="1" applyBorder="1" applyAlignment="1">
      <alignment vertical="center"/>
    </xf>
    <xf numFmtId="9" fontId="19" fillId="0" borderId="20" xfId="0" applyNumberFormat="1" applyFont="1" applyBorder="1" applyAlignment="1">
      <alignment horizontal="center" vertical="center"/>
    </xf>
    <xf numFmtId="0" fontId="20" fillId="0" borderId="9" xfId="0" applyFont="1" applyBorder="1" applyAlignment="1">
      <alignment vertical="center"/>
    </xf>
    <xf numFmtId="0" fontId="41" fillId="0" borderId="0" xfId="0" applyFont="1" applyAlignment="1">
      <alignment horizontal="right" vertical="center"/>
    </xf>
    <xf numFmtId="3" fontId="10" fillId="0" borderId="0" xfId="0" applyNumberFormat="1" applyFont="1" applyAlignment="1">
      <alignment vertical="center"/>
    </xf>
    <xf numFmtId="9" fontId="19" fillId="0" borderId="41" xfId="0" applyNumberFormat="1" applyFont="1" applyBorder="1" applyAlignment="1">
      <alignment horizontal="center" vertical="center"/>
    </xf>
    <xf numFmtId="0" fontId="19" fillId="0" borderId="32" xfId="0" applyFont="1" applyBorder="1" applyAlignment="1">
      <alignment horizontal="center" vertical="center" wrapText="1"/>
    </xf>
    <xf numFmtId="0" fontId="19" fillId="0" borderId="29" xfId="0" applyFont="1" applyBorder="1" applyAlignment="1">
      <alignment horizontal="right" vertical="center"/>
    </xf>
    <xf numFmtId="0" fontId="28" fillId="2" borderId="21" xfId="0" applyFont="1" applyFill="1" applyBorder="1" applyAlignment="1">
      <alignment horizontal="center" vertical="center"/>
    </xf>
    <xf numFmtId="0" fontId="20" fillId="0" borderId="72" xfId="0" applyFont="1" applyBorder="1" applyAlignment="1">
      <alignment vertical="center"/>
    </xf>
    <xf numFmtId="6" fontId="0" fillId="0" borderId="0" xfId="0" applyNumberFormat="1"/>
    <xf numFmtId="0" fontId="20" fillId="0" borderId="27" xfId="0" applyFont="1" applyBorder="1" applyAlignment="1">
      <alignment vertical="center"/>
    </xf>
    <xf numFmtId="0" fontId="20" fillId="0" borderId="47" xfId="0" applyFont="1" applyBorder="1" applyAlignment="1">
      <alignment vertical="center"/>
    </xf>
    <xf numFmtId="0" fontId="20" fillId="0" borderId="21" xfId="0" applyFont="1" applyBorder="1" applyAlignment="1">
      <alignment horizontal="center" vertical="center"/>
    </xf>
    <xf numFmtId="6" fontId="60" fillId="0" borderId="13" xfId="0" applyNumberFormat="1" applyFont="1" applyBorder="1" applyAlignment="1">
      <alignment vertical="center"/>
    </xf>
    <xf numFmtId="6" fontId="46" fillId="0" borderId="0" xfId="0" applyNumberFormat="1" applyFont="1" applyAlignment="1">
      <alignment vertical="center"/>
    </xf>
    <xf numFmtId="6" fontId="60" fillId="0" borderId="10" xfId="0" applyNumberFormat="1" applyFont="1" applyBorder="1" applyAlignment="1">
      <alignment vertical="center"/>
    </xf>
    <xf numFmtId="0" fontId="20" fillId="0" borderId="19" xfId="0" applyFont="1" applyBorder="1" applyAlignment="1">
      <alignment vertical="center"/>
    </xf>
    <xf numFmtId="0" fontId="19" fillId="0" borderId="12" xfId="0" applyFont="1" applyBorder="1" applyAlignment="1">
      <alignment vertical="center"/>
    </xf>
    <xf numFmtId="6" fontId="46" fillId="0" borderId="12" xfId="0" applyNumberFormat="1" applyFont="1" applyBorder="1" applyAlignment="1">
      <alignment vertical="center"/>
    </xf>
    <xf numFmtId="0" fontId="20" fillId="0" borderId="75" xfId="0" applyFont="1" applyBorder="1" applyAlignment="1">
      <alignment vertical="center"/>
    </xf>
    <xf numFmtId="0" fontId="20" fillId="0" borderId="33" xfId="0" applyFont="1" applyBorder="1" applyAlignment="1">
      <alignment vertical="center"/>
    </xf>
    <xf numFmtId="0" fontId="19" fillId="0" borderId="76" xfId="0" applyFont="1" applyBorder="1" applyAlignment="1">
      <alignment horizontal="right" vertical="center"/>
    </xf>
    <xf numFmtId="6" fontId="28" fillId="5" borderId="21" xfId="0" applyNumberFormat="1" applyFont="1" applyFill="1" applyBorder="1" applyAlignment="1">
      <alignment horizontal="center" vertical="center"/>
    </xf>
    <xf numFmtId="6" fontId="28" fillId="2" borderId="32" xfId="0" applyNumberFormat="1" applyFont="1" applyFill="1" applyBorder="1" applyAlignment="1">
      <alignment horizontal="center" vertical="center"/>
    </xf>
    <xf numFmtId="6" fontId="46" fillId="0" borderId="21" xfId="0" applyNumberFormat="1" applyFont="1" applyBorder="1" applyAlignment="1">
      <alignment vertical="center"/>
    </xf>
    <xf numFmtId="6" fontId="20" fillId="0" borderId="32" xfId="0" applyNumberFormat="1" applyFont="1" applyBorder="1" applyAlignment="1">
      <alignment vertical="center"/>
    </xf>
    <xf numFmtId="0" fontId="19" fillId="0" borderId="21" xfId="0" applyFont="1" applyBorder="1" applyAlignment="1">
      <alignment vertical="center"/>
    </xf>
    <xf numFmtId="6" fontId="60" fillId="0" borderId="32" xfId="0" applyNumberFormat="1" applyFont="1" applyBorder="1" applyAlignment="1">
      <alignment vertical="center"/>
    </xf>
    <xf numFmtId="0" fontId="20" fillId="0" borderId="33" xfId="0" applyFont="1" applyBorder="1" applyAlignment="1">
      <alignment horizontal="left" vertical="center"/>
    </xf>
    <xf numFmtId="0" fontId="20" fillId="0" borderId="26" xfId="0" applyFont="1" applyBorder="1" applyAlignment="1">
      <alignment horizontal="centerContinuous" vertical="center"/>
    </xf>
    <xf numFmtId="0" fontId="20" fillId="0" borderId="27" xfId="0" applyFont="1" applyBorder="1" applyAlignment="1">
      <alignment horizontal="centerContinuous" vertical="center"/>
    </xf>
    <xf numFmtId="0" fontId="19" fillId="0" borderId="77" xfId="0" applyFont="1" applyBorder="1" applyAlignment="1">
      <alignment horizontal="right" vertical="center"/>
    </xf>
    <xf numFmtId="0" fontId="20" fillId="0" borderId="46" xfId="0" applyFont="1" applyBorder="1" applyAlignment="1">
      <alignment vertical="center"/>
    </xf>
    <xf numFmtId="0" fontId="20" fillId="0" borderId="4" xfId="0" applyFont="1" applyBorder="1" applyAlignment="1">
      <alignment horizontal="center" vertical="center"/>
    </xf>
    <xf numFmtId="0" fontId="28" fillId="2" borderId="36" xfId="0" applyFont="1" applyFill="1" applyBorder="1" applyAlignment="1">
      <alignment horizontal="right" vertical="center"/>
    </xf>
    <xf numFmtId="0" fontId="19" fillId="0" borderId="21" xfId="0" applyFont="1" applyBorder="1" applyAlignment="1">
      <alignment horizontal="left" vertical="center"/>
    </xf>
    <xf numFmtId="6" fontId="42" fillId="0" borderId="21" xfId="0" applyNumberFormat="1" applyFont="1" applyBorder="1" applyAlignment="1">
      <alignment horizontal="center" vertical="center"/>
    </xf>
    <xf numFmtId="6" fontId="19" fillId="0" borderId="32" xfId="0" applyNumberFormat="1" applyFont="1" applyBorder="1" applyAlignment="1">
      <alignment horizontal="center" vertical="center"/>
    </xf>
    <xf numFmtId="0" fontId="20" fillId="0" borderId="46" xfId="0" applyFont="1" applyBorder="1" applyAlignment="1">
      <alignment horizontal="left" vertical="center"/>
    </xf>
    <xf numFmtId="6" fontId="42" fillId="0" borderId="21" xfId="0" applyNumberFormat="1" applyFont="1" applyBorder="1" applyAlignment="1">
      <alignment horizontal="left" vertical="center"/>
    </xf>
    <xf numFmtId="0" fontId="20" fillId="0" borderId="75" xfId="0" applyFont="1" applyBorder="1" applyAlignment="1">
      <alignment horizontal="left" vertical="center"/>
    </xf>
    <xf numFmtId="0" fontId="20" fillId="0" borderId="4" xfId="0" applyFont="1" applyBorder="1" applyAlignment="1">
      <alignment vertical="center"/>
    </xf>
    <xf numFmtId="0" fontId="20" fillId="0" borderId="24" xfId="0" applyFont="1" applyBorder="1" applyAlignment="1">
      <alignment vertical="center"/>
    </xf>
    <xf numFmtId="0" fontId="22" fillId="0" borderId="17" xfId="0" applyFont="1" applyBorder="1" applyAlignment="1">
      <alignment horizontal="center"/>
    </xf>
    <xf numFmtId="0" fontId="22" fillId="0" borderId="30" xfId="0" applyFont="1" applyBorder="1" applyAlignment="1">
      <alignment horizontal="center"/>
    </xf>
    <xf numFmtId="0" fontId="19" fillId="0" borderId="9" xfId="0" applyFont="1" applyBorder="1"/>
    <xf numFmtId="0" fontId="24" fillId="0" borderId="19" xfId="0" applyFont="1" applyBorder="1"/>
    <xf numFmtId="6" fontId="0" fillId="0" borderId="12" xfId="0" applyNumberFormat="1" applyBorder="1" applyAlignment="1">
      <alignment horizontal="center"/>
    </xf>
    <xf numFmtId="0" fontId="20" fillId="4" borderId="51" xfId="0" applyFont="1" applyFill="1" applyBorder="1" applyAlignment="1" applyProtection="1">
      <alignment horizontal="center" vertical="center" shrinkToFit="1"/>
      <protection locked="0"/>
    </xf>
    <xf numFmtId="2" fontId="20" fillId="4" borderId="5" xfId="0" applyNumberFormat="1" applyFont="1" applyFill="1" applyBorder="1" applyAlignment="1" applyProtection="1">
      <alignment vertical="center" shrinkToFit="1"/>
      <protection locked="0"/>
    </xf>
    <xf numFmtId="0" fontId="20" fillId="4" borderId="52" xfId="0" applyFont="1" applyFill="1" applyBorder="1" applyAlignment="1" applyProtection="1">
      <alignment horizontal="center" vertical="center" shrinkToFit="1"/>
      <protection locked="0"/>
    </xf>
    <xf numFmtId="2" fontId="20" fillId="4" borderId="74" xfId="0" applyNumberFormat="1" applyFont="1" applyFill="1" applyBorder="1" applyAlignment="1" applyProtection="1">
      <alignment vertical="center" shrinkToFit="1"/>
      <protection locked="0"/>
    </xf>
    <xf numFmtId="0" fontId="20" fillId="4" borderId="5" xfId="0" applyFont="1" applyFill="1" applyBorder="1" applyAlignment="1" applyProtection="1">
      <alignment vertical="center" shrinkToFit="1"/>
      <protection locked="0"/>
    </xf>
    <xf numFmtId="0" fontId="20" fillId="4" borderId="74" xfId="0" applyFont="1" applyFill="1" applyBorder="1" applyAlignment="1" applyProtection="1">
      <alignment vertical="center" shrinkToFit="1"/>
      <protection locked="0"/>
    </xf>
    <xf numFmtId="6" fontId="46" fillId="4" borderId="0" xfId="0" applyNumberFormat="1" applyFont="1" applyFill="1" applyAlignment="1" applyProtection="1">
      <alignment horizontal="right" vertical="center" shrinkToFit="1"/>
      <protection locked="0"/>
    </xf>
    <xf numFmtId="6" fontId="46" fillId="4" borderId="1" xfId="0" applyNumberFormat="1" applyFont="1" applyFill="1" applyBorder="1" applyAlignment="1" applyProtection="1">
      <alignment horizontal="right" vertical="center" shrinkToFit="1"/>
      <protection locked="0"/>
    </xf>
    <xf numFmtId="6" fontId="46" fillId="4" borderId="48" xfId="0" applyNumberFormat="1" applyFont="1" applyFill="1" applyBorder="1" applyAlignment="1" applyProtection="1">
      <alignment horizontal="right" vertical="center" shrinkToFit="1"/>
      <protection locked="0"/>
    </xf>
    <xf numFmtId="6" fontId="46" fillId="4" borderId="53" xfId="0" applyNumberFormat="1" applyFont="1" applyFill="1" applyBorder="1" applyAlignment="1" applyProtection="1">
      <alignment horizontal="right" vertical="center" shrinkToFit="1"/>
      <protection locked="0"/>
    </xf>
    <xf numFmtId="6" fontId="20" fillId="4" borderId="16" xfId="0" applyNumberFormat="1" applyFont="1" applyFill="1" applyBorder="1" applyAlignment="1" applyProtection="1">
      <alignment vertical="center" shrinkToFit="1"/>
      <protection locked="0"/>
    </xf>
    <xf numFmtId="6" fontId="20" fillId="4" borderId="59" xfId="0" applyNumberFormat="1" applyFont="1" applyFill="1" applyBorder="1" applyAlignment="1" applyProtection="1">
      <alignment vertical="center" shrinkToFit="1"/>
      <protection locked="0"/>
    </xf>
    <xf numFmtId="0" fontId="20" fillId="4" borderId="44" xfId="0" applyFont="1" applyFill="1" applyBorder="1" applyAlignment="1" applyProtection="1">
      <alignment vertical="center" shrinkToFit="1"/>
      <protection locked="0"/>
    </xf>
    <xf numFmtId="0" fontId="20" fillId="4" borderId="44" xfId="0" applyFont="1" applyFill="1" applyBorder="1" applyAlignment="1" applyProtection="1">
      <alignment horizontal="center" vertical="center" shrinkToFit="1"/>
      <protection locked="0"/>
    </xf>
    <xf numFmtId="38" fontId="20" fillId="4" borderId="78" xfId="0" applyNumberFormat="1" applyFont="1" applyFill="1" applyBorder="1" applyAlignment="1" applyProtection="1">
      <alignment horizontal="center" vertical="center" shrinkToFit="1"/>
      <protection locked="0"/>
    </xf>
    <xf numFmtId="0" fontId="20" fillId="4" borderId="5" xfId="0" applyFont="1" applyFill="1" applyBorder="1" applyAlignment="1" applyProtection="1">
      <alignment horizontal="center" vertical="center" shrinkToFit="1"/>
      <protection locked="0"/>
    </xf>
    <xf numFmtId="38" fontId="20" fillId="4" borderId="37" xfId="0" applyNumberFormat="1" applyFont="1" applyFill="1" applyBorder="1" applyAlignment="1" applyProtection="1">
      <alignment horizontal="center" vertical="center" shrinkToFit="1"/>
      <protection locked="0"/>
    </xf>
    <xf numFmtId="0" fontId="20" fillId="4" borderId="74" xfId="0" applyFont="1" applyFill="1" applyBorder="1" applyAlignment="1" applyProtection="1">
      <alignment horizontal="center" vertical="center" shrinkToFit="1"/>
      <protection locked="0"/>
    </xf>
    <xf numFmtId="38" fontId="20" fillId="4" borderId="10" xfId="0" applyNumberFormat="1" applyFont="1" applyFill="1" applyBorder="1" applyAlignment="1" applyProtection="1">
      <alignment horizontal="center" vertical="center" shrinkToFit="1"/>
      <protection locked="0"/>
    </xf>
    <xf numFmtId="6" fontId="20" fillId="4" borderId="53" xfId="0" applyNumberFormat="1" applyFont="1" applyFill="1" applyBorder="1" applyAlignment="1" applyProtection="1">
      <alignment vertical="center" shrinkToFit="1"/>
      <protection locked="0"/>
    </xf>
    <xf numFmtId="6" fontId="46" fillId="4" borderId="72" xfId="0" applyNumberFormat="1" applyFont="1" applyFill="1" applyBorder="1" applyAlignment="1" applyProtection="1">
      <alignment vertical="center" shrinkToFit="1"/>
      <protection locked="0"/>
    </xf>
    <xf numFmtId="6" fontId="20" fillId="4" borderId="79" xfId="0" applyNumberFormat="1" applyFont="1" applyFill="1" applyBorder="1" applyAlignment="1" applyProtection="1">
      <alignment vertical="center" shrinkToFit="1"/>
      <protection locked="0"/>
    </xf>
    <xf numFmtId="6" fontId="46" fillId="4" borderId="27" xfId="0" applyNumberFormat="1" applyFont="1" applyFill="1" applyBorder="1" applyAlignment="1" applyProtection="1">
      <alignment vertical="center" shrinkToFit="1"/>
      <protection locked="0"/>
    </xf>
    <xf numFmtId="6" fontId="20" fillId="4" borderId="28" xfId="0" applyNumberFormat="1" applyFont="1" applyFill="1" applyBorder="1" applyAlignment="1" applyProtection="1">
      <alignment vertical="center" shrinkToFit="1"/>
      <protection locked="0"/>
    </xf>
    <xf numFmtId="6" fontId="46" fillId="4" borderId="47" xfId="0" applyNumberFormat="1" applyFont="1" applyFill="1" applyBorder="1" applyAlignment="1" applyProtection="1">
      <alignment vertical="center" shrinkToFit="1"/>
      <protection locked="0"/>
    </xf>
    <xf numFmtId="6" fontId="46" fillId="4" borderId="46" xfId="0" applyNumberFormat="1" applyFont="1" applyFill="1" applyBorder="1" applyAlignment="1" applyProtection="1">
      <alignment vertical="center" shrinkToFit="1"/>
      <protection locked="0"/>
    </xf>
    <xf numFmtId="6" fontId="20" fillId="4" borderId="49" xfId="0" applyNumberFormat="1" applyFont="1" applyFill="1" applyBorder="1" applyAlignment="1" applyProtection="1">
      <alignment vertical="center" shrinkToFit="1"/>
      <protection locked="0"/>
    </xf>
    <xf numFmtId="6" fontId="46" fillId="4" borderId="11" xfId="0" applyNumberFormat="1" applyFont="1" applyFill="1" applyBorder="1" applyAlignment="1" applyProtection="1">
      <alignment vertical="center" shrinkToFit="1"/>
      <protection locked="0"/>
    </xf>
    <xf numFmtId="6" fontId="20" fillId="4" borderId="24" xfId="0" applyNumberFormat="1" applyFont="1" applyFill="1" applyBorder="1" applyAlignment="1" applyProtection="1">
      <alignment vertical="center" shrinkToFit="1"/>
      <protection locked="0"/>
    </xf>
    <xf numFmtId="6" fontId="46" fillId="4" borderId="45" xfId="0" applyNumberFormat="1" applyFont="1" applyFill="1" applyBorder="1" applyAlignment="1" applyProtection="1">
      <alignment horizontal="right" vertical="center" shrinkToFit="1"/>
      <protection locked="0"/>
    </xf>
    <xf numFmtId="6" fontId="20" fillId="4" borderId="48" xfId="0" applyNumberFormat="1" applyFont="1" applyFill="1" applyBorder="1" applyAlignment="1" applyProtection="1">
      <alignment vertical="center" shrinkToFit="1"/>
      <protection locked="0"/>
    </xf>
    <xf numFmtId="6" fontId="42" fillId="0" borderId="67" xfId="0" applyNumberFormat="1" applyFont="1" applyBorder="1" applyAlignment="1">
      <alignment horizontal="right" vertical="center" shrinkToFit="1"/>
    </xf>
    <xf numFmtId="38" fontId="19" fillId="0" borderId="67" xfId="0" applyNumberFormat="1" applyFont="1" applyBorder="1" applyAlignment="1">
      <alignment horizontal="center" vertical="center" shrinkToFit="1"/>
    </xf>
    <xf numFmtId="6" fontId="46" fillId="0" borderId="27" xfId="0" applyNumberFormat="1" applyFont="1" applyBorder="1" applyAlignment="1">
      <alignment vertical="center" shrinkToFit="1"/>
    </xf>
    <xf numFmtId="6" fontId="20" fillId="0" borderId="28" xfId="0" applyNumberFormat="1" applyFont="1" applyBorder="1" applyAlignment="1">
      <alignment vertical="center" shrinkToFit="1"/>
    </xf>
    <xf numFmtId="6" fontId="46" fillId="0" borderId="47" xfId="0" applyNumberFormat="1" applyFont="1" applyBorder="1" applyAlignment="1">
      <alignment horizontal="right" vertical="center" shrinkToFit="1"/>
    </xf>
    <xf numFmtId="6" fontId="20" fillId="0" borderId="53" xfId="0" applyNumberFormat="1" applyFont="1" applyBorder="1" applyAlignment="1">
      <alignment vertical="center" shrinkToFit="1"/>
    </xf>
    <xf numFmtId="6" fontId="42" fillId="0" borderId="67" xfId="1" applyNumberFormat="1" applyFont="1" applyBorder="1" applyAlignment="1">
      <alignment horizontal="right" vertical="center" shrinkToFit="1"/>
    </xf>
    <xf numFmtId="6" fontId="46" fillId="0" borderId="67" xfId="0" applyNumberFormat="1" applyFont="1" applyBorder="1" applyAlignment="1">
      <alignment vertical="center" shrinkToFit="1"/>
    </xf>
    <xf numFmtId="6" fontId="20" fillId="0" borderId="67" xfId="0" applyNumberFormat="1" applyFont="1" applyBorder="1" applyAlignment="1">
      <alignment vertical="center" shrinkToFit="1"/>
    </xf>
    <xf numFmtId="6" fontId="46" fillId="0" borderId="72" xfId="0" applyNumberFormat="1" applyFont="1" applyBorder="1" applyAlignment="1">
      <alignment vertical="center" shrinkToFit="1"/>
    </xf>
    <xf numFmtId="6" fontId="46" fillId="0" borderId="32" xfId="0" applyNumberFormat="1" applyFont="1" applyBorder="1" applyAlignment="1">
      <alignment vertical="center" shrinkToFit="1"/>
    </xf>
    <xf numFmtId="6" fontId="43" fillId="0" borderId="67" xfId="0" applyNumberFormat="1" applyFont="1" applyBorder="1" applyAlignment="1">
      <alignment vertical="center" shrinkToFit="1"/>
    </xf>
    <xf numFmtId="6" fontId="10" fillId="0" borderId="32" xfId="0" applyNumberFormat="1" applyFont="1" applyBorder="1" applyAlignment="1">
      <alignment vertical="center" shrinkToFit="1"/>
    </xf>
    <xf numFmtId="6" fontId="20" fillId="0" borderId="32" xfId="0" applyNumberFormat="1" applyFont="1" applyBorder="1" applyAlignment="1">
      <alignment vertical="center" shrinkToFit="1"/>
    </xf>
    <xf numFmtId="6" fontId="43" fillId="0" borderId="21" xfId="0" applyNumberFormat="1" applyFont="1" applyBorder="1" applyAlignment="1">
      <alignment vertical="center" shrinkToFit="1"/>
    </xf>
    <xf numFmtId="6" fontId="10" fillId="0" borderId="67" xfId="0" applyNumberFormat="1" applyFont="1" applyBorder="1" applyAlignment="1">
      <alignment vertical="center" shrinkToFit="1"/>
    </xf>
    <xf numFmtId="6" fontId="0" fillId="0" borderId="0" xfId="0" applyNumberFormat="1" applyAlignment="1">
      <alignment horizontal="center" vertical="center" shrinkToFit="1"/>
    </xf>
    <xf numFmtId="6" fontId="0" fillId="0" borderId="10" xfId="0" applyNumberFormat="1" applyBorder="1" applyAlignment="1">
      <alignment horizontal="center" vertical="center" shrinkToFit="1"/>
    </xf>
    <xf numFmtId="0" fontId="20" fillId="4" borderId="27" xfId="0" applyFont="1" applyFill="1" applyBorder="1" applyAlignment="1" applyProtection="1">
      <alignment horizontal="left" vertical="center" shrinkToFit="1"/>
      <protection locked="0"/>
    </xf>
    <xf numFmtId="0" fontId="20" fillId="4" borderId="47" xfId="0" applyFont="1" applyFill="1" applyBorder="1" applyAlignment="1" applyProtection="1">
      <alignment horizontal="left" vertical="center" shrinkToFit="1"/>
      <protection locked="0"/>
    </xf>
    <xf numFmtId="0" fontId="20" fillId="4" borderId="61" xfId="0" applyFont="1" applyFill="1" applyBorder="1" applyAlignment="1" applyProtection="1">
      <alignment horizontal="left" vertical="center" shrinkToFit="1"/>
      <protection locked="0"/>
    </xf>
    <xf numFmtId="0" fontId="31" fillId="0" borderId="0" xfId="0" applyFont="1" applyAlignment="1">
      <alignment horizontal="left"/>
    </xf>
    <xf numFmtId="0" fontId="19" fillId="0" borderId="0" xfId="0" applyFont="1" applyAlignment="1">
      <alignment horizontal="right"/>
    </xf>
    <xf numFmtId="37" fontId="16" fillId="0" borderId="0" xfId="0" applyNumberFormat="1" applyFont="1" applyAlignment="1">
      <alignment horizontal="left"/>
    </xf>
    <xf numFmtId="0" fontId="50" fillId="0" borderId="0" xfId="0" applyFont="1" applyAlignment="1">
      <alignment horizontal="centerContinuous"/>
    </xf>
    <xf numFmtId="38" fontId="50" fillId="0" borderId="0" xfId="0" applyNumberFormat="1" applyFont="1" applyAlignment="1">
      <alignment horizontal="centerContinuous"/>
    </xf>
    <xf numFmtId="6" fontId="20" fillId="0" borderId="0" xfId="0" applyNumberFormat="1" applyFont="1"/>
    <xf numFmtId="170" fontId="20" fillId="0" borderId="0" xfId="1" applyNumberFormat="1" applyFont="1" applyAlignment="1">
      <alignment horizontal="center"/>
    </xf>
    <xf numFmtId="170" fontId="19" fillId="0" borderId="0" xfId="1" applyNumberFormat="1" applyFont="1" applyAlignment="1">
      <alignment horizontal="center"/>
    </xf>
    <xf numFmtId="165" fontId="19" fillId="0" borderId="0" xfId="8" applyNumberFormat="1" applyFont="1" applyAlignment="1">
      <alignment horizontal="center"/>
    </xf>
    <xf numFmtId="0" fontId="10" fillId="0" borderId="0" xfId="0" applyFont="1" applyAlignment="1" applyProtection="1">
      <alignment vertical="center"/>
      <protection hidden="1"/>
    </xf>
    <xf numFmtId="0" fontId="20" fillId="0" borderId="56" xfId="0" applyFont="1" applyBorder="1" applyAlignment="1">
      <alignment horizontal="center" vertical="center"/>
    </xf>
    <xf numFmtId="0" fontId="28" fillId="2" borderId="60" xfId="0" applyFont="1" applyFill="1" applyBorder="1" applyAlignment="1">
      <alignment horizontal="right" vertical="center"/>
    </xf>
    <xf numFmtId="6" fontId="20" fillId="1" borderId="28" xfId="0" applyNumberFormat="1" applyFont="1" applyFill="1" applyBorder="1" applyAlignment="1">
      <alignment vertical="center" shrinkToFit="1"/>
    </xf>
    <xf numFmtId="0" fontId="63" fillId="4" borderId="7" xfId="0" applyFont="1" applyFill="1" applyBorder="1" applyAlignment="1" applyProtection="1">
      <alignment shrinkToFit="1"/>
      <protection locked="0"/>
    </xf>
    <xf numFmtId="0" fontId="67" fillId="4" borderId="7" xfId="0" applyFont="1" applyFill="1" applyBorder="1" applyAlignment="1" applyProtection="1">
      <alignment horizontal="left"/>
      <protection locked="0"/>
    </xf>
    <xf numFmtId="0" fontId="63" fillId="4" borderId="7" xfId="0" applyFont="1" applyFill="1" applyBorder="1" applyProtection="1">
      <protection locked="0"/>
    </xf>
    <xf numFmtId="6" fontId="20" fillId="4" borderId="27" xfId="0" applyNumberFormat="1" applyFont="1" applyFill="1" applyBorder="1" applyAlignment="1" applyProtection="1">
      <alignment vertical="center" shrinkToFit="1"/>
      <protection locked="0"/>
    </xf>
    <xf numFmtId="0" fontId="28" fillId="2" borderId="0" xfId="0" applyFont="1" applyFill="1" applyAlignment="1">
      <alignment vertical="center"/>
    </xf>
    <xf numFmtId="0" fontId="27" fillId="0" borderId="0" xfId="21" applyFont="1" applyAlignment="1">
      <alignment horizontal="left"/>
    </xf>
    <xf numFmtId="0" fontId="20" fillId="4" borderId="46" xfId="0" applyFont="1" applyFill="1" applyBorder="1" applyAlignment="1" applyProtection="1">
      <alignment horizontal="left" vertical="center" shrinkToFit="1"/>
      <protection locked="0"/>
    </xf>
    <xf numFmtId="164" fontId="0" fillId="0" borderId="0" xfId="8" applyNumberFormat="1" applyFont="1"/>
    <xf numFmtId="0" fontId="69" fillId="0" borderId="0" xfId="0" applyFont="1" applyAlignment="1" applyProtection="1">
      <alignment shrinkToFit="1"/>
      <protection locked="0"/>
    </xf>
    <xf numFmtId="0" fontId="0" fillId="0" borderId="37" xfId="0" applyBorder="1"/>
    <xf numFmtId="10" fontId="2" fillId="6" borderId="80" xfId="0" applyNumberFormat="1" applyFont="1" applyFill="1" applyBorder="1" applyAlignment="1">
      <alignment shrinkToFit="1"/>
    </xf>
    <xf numFmtId="10" fontId="2" fillId="6" borderId="3" xfId="0" applyNumberFormat="1" applyFont="1" applyFill="1" applyBorder="1" applyAlignment="1">
      <alignment shrinkToFit="1"/>
    </xf>
    <xf numFmtId="10" fontId="2" fillId="6" borderId="81" xfId="0" applyNumberFormat="1" applyFont="1" applyFill="1" applyBorder="1" applyAlignment="1">
      <alignment shrinkToFit="1"/>
    </xf>
    <xf numFmtId="10" fontId="2" fillId="6" borderId="14" xfId="0" applyNumberFormat="1" applyFont="1" applyFill="1" applyBorder="1" applyAlignment="1">
      <alignment shrinkToFit="1"/>
    </xf>
    <xf numFmtId="0" fontId="20" fillId="0" borderId="45" xfId="0" applyFont="1" applyBorder="1" applyAlignment="1">
      <alignment vertical="center"/>
    </xf>
    <xf numFmtId="6" fontId="20" fillId="1" borderId="48" xfId="0" applyNumberFormat="1" applyFont="1" applyFill="1" applyBorder="1" applyAlignment="1">
      <alignment vertical="center" shrinkToFit="1"/>
    </xf>
    <xf numFmtId="6" fontId="20" fillId="0" borderId="49" xfId="0" applyNumberFormat="1" applyFont="1" applyBorder="1" applyAlignment="1">
      <alignment vertical="center" shrinkToFit="1"/>
    </xf>
    <xf numFmtId="0" fontId="20" fillId="0" borderId="38" xfId="0" applyFont="1" applyBorder="1" applyAlignment="1">
      <alignment horizontal="center" vertical="center"/>
    </xf>
    <xf numFmtId="0" fontId="20" fillId="0" borderId="5" xfId="0" applyFont="1" applyBorder="1" applyAlignment="1">
      <alignment horizontal="center" vertical="center"/>
    </xf>
    <xf numFmtId="0" fontId="20" fillId="0" borderId="9" xfId="0" applyFont="1" applyBorder="1" applyAlignment="1">
      <alignment horizontal="center" vertical="center"/>
    </xf>
    <xf numFmtId="6" fontId="20" fillId="0" borderId="24" xfId="0" applyNumberFormat="1" applyFont="1" applyBorder="1" applyAlignment="1">
      <alignment vertical="center" shrinkToFit="1"/>
    </xf>
    <xf numFmtId="0" fontId="20" fillId="0" borderId="11" xfId="0" applyFont="1" applyBorder="1" applyAlignment="1">
      <alignment horizontal="right" vertical="center"/>
    </xf>
    <xf numFmtId="6" fontId="20" fillId="0" borderId="11" xfId="0" applyNumberFormat="1" applyFont="1" applyBorder="1" applyAlignment="1">
      <alignment vertical="center" shrinkToFit="1"/>
    </xf>
    <xf numFmtId="0" fontId="20" fillId="0" borderId="46" xfId="0" applyFont="1" applyBorder="1" applyAlignment="1">
      <alignment horizontal="right" vertical="center"/>
    </xf>
    <xf numFmtId="6" fontId="20" fillId="0" borderId="46" xfId="0" applyNumberFormat="1" applyFont="1" applyBorder="1" applyAlignment="1">
      <alignment vertical="center" shrinkToFit="1"/>
    </xf>
    <xf numFmtId="6" fontId="20" fillId="0" borderId="45" xfId="0" applyNumberFormat="1" applyFont="1" applyBorder="1" applyAlignment="1">
      <alignment horizontal="right" vertical="center" shrinkToFit="1"/>
    </xf>
    <xf numFmtId="0" fontId="20" fillId="0" borderId="11" xfId="0" applyFont="1" applyBorder="1" applyAlignment="1">
      <alignment vertical="center"/>
    </xf>
    <xf numFmtId="6" fontId="20" fillId="0" borderId="11" xfId="0" applyNumberFormat="1" applyFont="1" applyBorder="1" applyAlignment="1">
      <alignment horizontal="right" vertical="center" shrinkToFit="1"/>
    </xf>
    <xf numFmtId="6" fontId="20" fillId="1" borderId="24" xfId="0" applyNumberFormat="1" applyFont="1" applyFill="1" applyBorder="1" applyAlignment="1">
      <alignment vertical="center" shrinkToFit="1"/>
    </xf>
    <xf numFmtId="6" fontId="20" fillId="0" borderId="46" xfId="0" applyNumberFormat="1" applyFont="1" applyBorder="1" applyAlignment="1">
      <alignment horizontal="right" vertical="center" shrinkToFit="1"/>
    </xf>
    <xf numFmtId="6" fontId="20" fillId="1" borderId="49" xfId="0" applyNumberFormat="1" applyFont="1" applyFill="1" applyBorder="1" applyAlignment="1">
      <alignment vertical="center" shrinkToFit="1"/>
    </xf>
    <xf numFmtId="6" fontId="20" fillId="0" borderId="27" xfId="0" applyNumberFormat="1" applyFont="1" applyBorder="1" applyAlignment="1">
      <alignment horizontal="right" vertical="center" shrinkToFit="1"/>
    </xf>
    <xf numFmtId="6" fontId="20" fillId="4" borderId="27" xfId="0" applyNumberFormat="1" applyFont="1" applyFill="1" applyBorder="1" applyAlignment="1" applyProtection="1">
      <alignment horizontal="right" vertical="center" shrinkToFit="1"/>
      <protection locked="0"/>
    </xf>
    <xf numFmtId="3" fontId="20" fillId="0" borderId="20" xfId="0" applyNumberFormat="1" applyFont="1" applyBorder="1" applyAlignment="1" applyProtection="1">
      <alignment horizontal="left" vertical="top" wrapText="1"/>
      <protection locked="0"/>
    </xf>
    <xf numFmtId="6" fontId="46" fillId="4" borderId="45" xfId="0" applyNumberFormat="1" applyFont="1" applyFill="1" applyBorder="1" applyAlignment="1" applyProtection="1">
      <alignment vertical="center" shrinkToFit="1"/>
      <protection locked="0"/>
    </xf>
    <xf numFmtId="165" fontId="20" fillId="4" borderId="33" xfId="8" applyNumberFormat="1" applyFont="1" applyFill="1" applyBorder="1" applyProtection="1">
      <protection locked="0"/>
    </xf>
    <xf numFmtId="165" fontId="20" fillId="4" borderId="8" xfId="8" applyNumberFormat="1" applyFont="1" applyFill="1" applyBorder="1" applyProtection="1">
      <protection locked="0"/>
    </xf>
    <xf numFmtId="0" fontId="24" fillId="0" borderId="0" xfId="0" applyFont="1" applyAlignment="1">
      <alignment horizontal="center"/>
    </xf>
    <xf numFmtId="0" fontId="19" fillId="0" borderId="0" xfId="0" applyFont="1" applyAlignment="1">
      <alignment wrapText="1"/>
    </xf>
    <xf numFmtId="9" fontId="20" fillId="0" borderId="0" xfId="73" applyFont="1" applyAlignment="1">
      <alignment horizontal="center"/>
    </xf>
    <xf numFmtId="0" fontId="19" fillId="0" borderId="52" xfId="0" applyFont="1" applyBorder="1"/>
    <xf numFmtId="0" fontId="19" fillId="0" borderId="47" xfId="0" applyFont="1" applyBorder="1"/>
    <xf numFmtId="0" fontId="73" fillId="0" borderId="0" xfId="0" applyFont="1"/>
    <xf numFmtId="0" fontId="19" fillId="0" borderId="53" xfId="0" applyFont="1" applyBorder="1" applyAlignment="1">
      <alignment wrapText="1"/>
    </xf>
    <xf numFmtId="0" fontId="6" fillId="1" borderId="22" xfId="23" applyFont="1" applyFill="1" applyBorder="1" applyAlignment="1">
      <alignment horizontal="center"/>
    </xf>
    <xf numFmtId="0" fontId="6" fillId="1" borderId="9" xfId="23" applyFont="1" applyFill="1" applyBorder="1" applyAlignment="1">
      <alignment horizontal="center"/>
    </xf>
    <xf numFmtId="0" fontId="6" fillId="1" borderId="19" xfId="23" applyFont="1" applyFill="1" applyBorder="1" applyAlignment="1">
      <alignment horizontal="center"/>
    </xf>
    <xf numFmtId="0" fontId="6" fillId="1" borderId="10" xfId="23" applyFont="1" applyFill="1" applyBorder="1" applyAlignment="1">
      <alignment horizontal="center"/>
    </xf>
    <xf numFmtId="0" fontId="6" fillId="1" borderId="13" xfId="23" applyFont="1" applyFill="1" applyBorder="1" applyAlignment="1">
      <alignment horizontal="center"/>
    </xf>
    <xf numFmtId="0" fontId="19" fillId="0" borderId="13" xfId="0" applyFont="1" applyBorder="1"/>
    <xf numFmtId="0" fontId="0" fillId="0" borderId="0" xfId="0" applyAlignment="1">
      <alignment horizontal="left" vertical="top" wrapText="1"/>
    </xf>
    <xf numFmtId="0" fontId="55" fillId="0" borderId="0" xfId="0" applyFont="1"/>
    <xf numFmtId="0" fontId="55" fillId="0" borderId="0" xfId="0" applyFont="1" applyAlignment="1">
      <alignment horizontal="left"/>
    </xf>
    <xf numFmtId="0" fontId="55" fillId="0" borderId="10" xfId="0" applyFont="1" applyBorder="1" applyAlignment="1">
      <alignment horizontal="left"/>
    </xf>
    <xf numFmtId="0" fontId="55" fillId="0" borderId="12" xfId="0" applyFont="1" applyBorder="1"/>
    <xf numFmtId="6" fontId="74" fillId="0" borderId="13" xfId="0" applyNumberFormat="1" applyFont="1" applyBorder="1" applyAlignment="1">
      <alignment horizontal="center"/>
    </xf>
    <xf numFmtId="0" fontId="19" fillId="0" borderId="0" xfId="0" applyFont="1" applyAlignment="1">
      <alignment vertical="top" wrapText="1"/>
    </xf>
    <xf numFmtId="0" fontId="55" fillId="0" borderId="0" xfId="0" applyFont="1" applyAlignment="1">
      <alignment horizontal="right"/>
    </xf>
    <xf numFmtId="0" fontId="26" fillId="0" borderId="9" xfId="71" applyFont="1" applyBorder="1"/>
    <xf numFmtId="9" fontId="26" fillId="0" borderId="0" xfId="73" applyFont="1" applyAlignment="1">
      <alignment horizontal="center"/>
    </xf>
    <xf numFmtId="9" fontId="26" fillId="0" borderId="4" xfId="73" applyFont="1" applyBorder="1" applyAlignment="1">
      <alignment horizontal="center"/>
    </xf>
    <xf numFmtId="0" fontId="26" fillId="0" borderId="0" xfId="71" applyFont="1"/>
    <xf numFmtId="10" fontId="26" fillId="0" borderId="9" xfId="1" applyNumberFormat="1" applyFont="1" applyBorder="1" applyAlignment="1">
      <alignment horizontal="center"/>
    </xf>
    <xf numFmtId="170" fontId="75" fillId="0" borderId="0" xfId="1" applyNumberFormat="1" applyFont="1"/>
    <xf numFmtId="0" fontId="14" fillId="2" borderId="17" xfId="0" applyFont="1" applyFill="1" applyBorder="1" applyAlignment="1">
      <alignment horizontal="center" vertical="center"/>
    </xf>
    <xf numFmtId="0" fontId="14" fillId="2" borderId="30" xfId="0" applyFont="1" applyFill="1" applyBorder="1" applyAlignment="1">
      <alignment vertical="center"/>
    </xf>
    <xf numFmtId="0" fontId="28" fillId="2" borderId="40" xfId="0" applyFont="1" applyFill="1" applyBorder="1" applyAlignment="1">
      <alignment vertical="center"/>
    </xf>
    <xf numFmtId="0" fontId="6" fillId="0" borderId="0" xfId="23" applyFont="1" applyAlignment="1">
      <alignment horizontal="center"/>
    </xf>
    <xf numFmtId="173" fontId="46" fillId="4" borderId="39" xfId="73" applyNumberFormat="1" applyFont="1" applyFill="1" applyBorder="1" applyAlignment="1" applyProtection="1">
      <alignment horizontal="right" vertical="center" shrinkToFit="1"/>
      <protection locked="0"/>
    </xf>
    <xf numFmtId="6" fontId="46" fillId="0" borderId="46" xfId="0" applyNumberFormat="1" applyFont="1" applyBorder="1" applyAlignment="1" applyProtection="1">
      <alignment vertical="center" shrinkToFit="1"/>
      <protection locked="0"/>
    </xf>
    <xf numFmtId="0" fontId="6" fillId="1" borderId="0" xfId="23" applyFont="1" applyFill="1" applyAlignment="1">
      <alignment horizontal="center"/>
    </xf>
    <xf numFmtId="164" fontId="0" fillId="1" borderId="11" xfId="0" applyNumberFormat="1" applyFill="1" applyBorder="1" applyAlignment="1">
      <alignment horizontal="center"/>
    </xf>
    <xf numFmtId="0" fontId="0" fillId="1" borderId="11" xfId="0" applyFill="1" applyBorder="1"/>
    <xf numFmtId="0" fontId="20" fillId="1" borderId="11" xfId="0" applyFont="1" applyFill="1" applyBorder="1"/>
    <xf numFmtId="0" fontId="0" fillId="1" borderId="46" xfId="0" applyFill="1" applyBorder="1"/>
    <xf numFmtId="0" fontId="6" fillId="1" borderId="11" xfId="23" applyFont="1" applyFill="1" applyBorder="1" applyAlignment="1">
      <alignment horizontal="center"/>
    </xf>
    <xf numFmtId="0" fontId="19" fillId="0" borderId="0" xfId="0" applyFont="1" applyAlignment="1">
      <alignment horizontal="left" vertical="top" wrapText="1"/>
    </xf>
    <xf numFmtId="0" fontId="48" fillId="0" borderId="21" xfId="0" applyFont="1" applyBorder="1"/>
    <xf numFmtId="172" fontId="19" fillId="0" borderId="32" xfId="71" applyNumberFormat="1" applyFont="1" applyBorder="1"/>
    <xf numFmtId="0" fontId="8" fillId="0" borderId="17" xfId="71" applyBorder="1"/>
    <xf numFmtId="0" fontId="20" fillId="0" borderId="17" xfId="1" applyNumberFormat="1" applyFont="1" applyBorder="1" applyAlignment="1">
      <alignment horizontal="center" vertical="center"/>
    </xf>
    <xf numFmtId="0" fontId="12" fillId="0" borderId="17" xfId="71" applyFont="1" applyBorder="1" applyAlignment="1">
      <alignment horizontal="left"/>
    </xf>
    <xf numFmtId="172" fontId="19" fillId="0" borderId="12" xfId="0" applyNumberFormat="1" applyFont="1" applyBorder="1"/>
    <xf numFmtId="172" fontId="19" fillId="0" borderId="13" xfId="0" applyNumberFormat="1" applyFont="1" applyBorder="1"/>
    <xf numFmtId="9" fontId="20" fillId="4" borderId="72" xfId="73" applyFont="1" applyFill="1" applyBorder="1" applyAlignment="1" applyProtection="1">
      <alignment horizontal="center" shrinkToFit="1"/>
      <protection locked="0"/>
    </xf>
    <xf numFmtId="9" fontId="20" fillId="1" borderId="72" xfId="73" applyFont="1" applyFill="1" applyBorder="1" applyAlignment="1">
      <alignment horizontal="center"/>
    </xf>
    <xf numFmtId="0" fontId="20" fillId="1" borderId="72" xfId="1" applyNumberFormat="1" applyFont="1" applyFill="1" applyBorder="1" applyAlignment="1">
      <alignment horizontal="center" vertical="center"/>
    </xf>
    <xf numFmtId="172" fontId="20" fillId="4" borderId="72" xfId="1" applyNumberFormat="1" applyFont="1" applyFill="1" applyBorder="1" applyAlignment="1" applyProtection="1">
      <alignment shrinkToFit="1"/>
      <protection locked="0"/>
    </xf>
    <xf numFmtId="172" fontId="0" fillId="0" borderId="72" xfId="0" applyNumberFormat="1" applyBorder="1"/>
    <xf numFmtId="172" fontId="20" fillId="0" borderId="79" xfId="1" applyNumberFormat="1" applyFont="1" applyBorder="1"/>
    <xf numFmtId="0" fontId="5" fillId="0" borderId="18" xfId="0" applyFont="1" applyBorder="1" applyAlignment="1">
      <alignment horizontal="left" vertical="center"/>
    </xf>
    <xf numFmtId="0" fontId="5" fillId="0" borderId="7" xfId="0" applyFont="1" applyBorder="1" applyAlignment="1">
      <alignment horizontal="center" vertical="center"/>
    </xf>
    <xf numFmtId="0" fontId="0" fillId="0" borderId="7" xfId="0" applyBorder="1" applyAlignment="1">
      <alignment vertical="center"/>
    </xf>
    <xf numFmtId="0" fontId="5" fillId="4" borderId="7" xfId="0" applyFont="1" applyFill="1" applyBorder="1" applyAlignment="1">
      <alignment horizontal="center" vertical="center"/>
    </xf>
    <xf numFmtId="0" fontId="5" fillId="0" borderId="7" xfId="0" applyFont="1" applyBorder="1" applyAlignment="1">
      <alignment horizontal="left" vertical="center"/>
    </xf>
    <xf numFmtId="0" fontId="5" fillId="0" borderId="8" xfId="0" applyFont="1" applyBorder="1" applyAlignment="1">
      <alignment horizontal="center" vertical="center"/>
    </xf>
    <xf numFmtId="0" fontId="6" fillId="1" borderId="45" xfId="23" applyFont="1" applyFill="1" applyBorder="1" applyAlignment="1">
      <alignment horizontal="center" vertical="center"/>
    </xf>
    <xf numFmtId="0" fontId="0" fillId="0" borderId="1" xfId="0" applyBorder="1" applyAlignment="1">
      <alignment vertical="center"/>
    </xf>
    <xf numFmtId="0" fontId="5" fillId="0" borderId="1" xfId="23" applyFont="1" applyBorder="1" applyAlignment="1">
      <alignment horizontal="left" vertical="center"/>
    </xf>
    <xf numFmtId="0" fontId="0" fillId="4" borderId="1" xfId="0" applyFill="1" applyBorder="1" applyAlignment="1">
      <alignment vertical="center"/>
    </xf>
    <xf numFmtId="0" fontId="6" fillId="1" borderId="27" xfId="23" applyFont="1" applyFill="1" applyBorder="1" applyAlignment="1">
      <alignment horizontal="center" vertical="center"/>
    </xf>
    <xf numFmtId="0" fontId="5" fillId="4" borderId="1" xfId="0" applyFont="1" applyFill="1" applyBorder="1" applyAlignment="1">
      <alignment horizontal="left" vertical="center"/>
    </xf>
    <xf numFmtId="0" fontId="5" fillId="0" borderId="1" xfId="0" applyFont="1" applyBorder="1" applyAlignment="1">
      <alignment horizontal="left" vertical="center"/>
    </xf>
    <xf numFmtId="0" fontId="0" fillId="0" borderId="33" xfId="0" applyBorder="1" applyAlignment="1">
      <alignment vertical="center"/>
    </xf>
    <xf numFmtId="0" fontId="5" fillId="4" borderId="7" xfId="0" applyFont="1" applyFill="1" applyBorder="1" applyAlignment="1">
      <alignment horizontal="left" vertical="center"/>
    </xf>
    <xf numFmtId="0" fontId="0" fillId="0" borderId="25" xfId="0" applyBorder="1" applyAlignment="1">
      <alignment vertical="center"/>
    </xf>
    <xf numFmtId="0" fontId="19" fillId="0" borderId="1" xfId="0" applyFont="1" applyBorder="1" applyAlignment="1">
      <alignment horizontal="center" vertical="center"/>
    </xf>
    <xf numFmtId="0" fontId="0" fillId="0" borderId="0" xfId="0" applyAlignment="1">
      <alignment horizontal="center" vertical="center"/>
    </xf>
    <xf numFmtId="0" fontId="12" fillId="0" borderId="15" xfId="0" applyFont="1" applyBorder="1" applyAlignment="1">
      <alignment horizontal="center" vertical="center"/>
    </xf>
    <xf numFmtId="0" fontId="0" fillId="0" borderId="4" xfId="0" applyBorder="1" applyAlignment="1">
      <alignment horizontal="center" vertical="center"/>
    </xf>
    <xf numFmtId="0" fontId="19" fillId="0" borderId="57" xfId="0" applyFont="1" applyBorder="1" applyAlignment="1">
      <alignment horizontal="center" vertical="center"/>
    </xf>
    <xf numFmtId="9" fontId="20" fillId="0" borderId="0" xfId="73" applyFont="1" applyAlignment="1">
      <alignment horizontal="center" vertical="center"/>
    </xf>
    <xf numFmtId="0" fontId="12" fillId="0" borderId="31" xfId="0" applyFont="1" applyBorder="1" applyAlignment="1">
      <alignment horizontal="left" vertical="center"/>
    </xf>
    <xf numFmtId="0" fontId="12" fillId="0" borderId="73" xfId="0" applyFont="1" applyBorder="1" applyAlignment="1">
      <alignment horizontal="left" vertical="center"/>
    </xf>
    <xf numFmtId="0" fontId="18" fillId="4" borderId="0" xfId="0" applyFont="1" applyFill="1" applyAlignment="1">
      <alignment horizontal="left"/>
    </xf>
    <xf numFmtId="0" fontId="20" fillId="4" borderId="9" xfId="0" applyFont="1" applyFill="1" applyBorder="1" applyAlignment="1">
      <alignment vertical="center"/>
    </xf>
    <xf numFmtId="0" fontId="6" fillId="4" borderId="9" xfId="0" applyFont="1" applyFill="1" applyBorder="1"/>
    <xf numFmtId="0" fontId="12" fillId="0" borderId="46" xfId="0" applyFont="1" applyBorder="1" applyAlignment="1">
      <alignment horizontal="center" vertical="center"/>
    </xf>
    <xf numFmtId="0" fontId="20" fillId="0" borderId="17" xfId="0" applyFont="1" applyBorder="1" applyProtection="1">
      <protection locked="0"/>
    </xf>
    <xf numFmtId="6" fontId="20" fillId="0" borderId="17" xfId="0" applyNumberFormat="1" applyFont="1" applyBorder="1" applyProtection="1">
      <protection locked="0"/>
    </xf>
    <xf numFmtId="164" fontId="20" fillId="0" borderId="17" xfId="0" applyNumberFormat="1" applyFont="1" applyBorder="1" applyProtection="1">
      <protection locked="0"/>
    </xf>
    <xf numFmtId="0" fontId="20" fillId="0" borderId="17" xfId="0" applyFont="1" applyBorder="1"/>
    <xf numFmtId="0" fontId="19" fillId="0" borderId="19" xfId="0" applyFont="1" applyBorder="1"/>
    <xf numFmtId="0" fontId="28" fillId="2" borderId="32" xfId="0" applyFont="1" applyFill="1" applyBorder="1" applyAlignment="1">
      <alignment horizontal="center" vertical="center"/>
    </xf>
    <xf numFmtId="6" fontId="46" fillId="0" borderId="11" xfId="0" applyNumberFormat="1" applyFont="1" applyBorder="1" applyAlignment="1">
      <alignment vertical="center" shrinkToFit="1"/>
    </xf>
    <xf numFmtId="0" fontId="28" fillId="5" borderId="21" xfId="0" applyFont="1" applyFill="1" applyBorder="1" applyAlignment="1">
      <alignment horizontal="center" vertical="center"/>
    </xf>
    <xf numFmtId="9" fontId="26" fillId="0" borderId="9" xfId="71" applyNumberFormat="1" applyFont="1" applyBorder="1" applyAlignment="1">
      <alignment horizontal="center"/>
    </xf>
    <xf numFmtId="9" fontId="26" fillId="0" borderId="19" xfId="71" applyNumberFormat="1" applyFont="1" applyBorder="1" applyAlignment="1">
      <alignment horizontal="center"/>
    </xf>
    <xf numFmtId="0" fontId="26" fillId="0" borderId="0" xfId="71" applyFont="1" applyAlignment="1">
      <alignment horizontal="center"/>
    </xf>
    <xf numFmtId="0" fontId="26" fillId="0" borderId="4" xfId="71" applyFont="1" applyBorder="1" applyAlignment="1">
      <alignment horizontal="center"/>
    </xf>
    <xf numFmtId="9" fontId="26" fillId="0" borderId="26" xfId="71" applyNumberFormat="1" applyFont="1" applyBorder="1" applyAlignment="1">
      <alignment horizontal="center"/>
    </xf>
    <xf numFmtId="9" fontId="26" fillId="0" borderId="26" xfId="73" applyFont="1" applyBorder="1" applyAlignment="1">
      <alignment horizontal="center"/>
    </xf>
    <xf numFmtId="0" fontId="26" fillId="0" borderId="26" xfId="71" applyFont="1" applyBorder="1" applyAlignment="1">
      <alignment horizontal="center"/>
    </xf>
    <xf numFmtId="0" fontId="24" fillId="0" borderId="0" xfId="0" applyFont="1"/>
    <xf numFmtId="10" fontId="77" fillId="0" borderId="31" xfId="1" applyNumberFormat="1" applyFont="1" applyBorder="1" applyAlignment="1">
      <alignment vertical="center" wrapText="1"/>
    </xf>
    <xf numFmtId="10" fontId="77" fillId="0" borderId="2" xfId="1" applyNumberFormat="1" applyFont="1" applyBorder="1" applyAlignment="1">
      <alignment vertical="center" wrapText="1"/>
    </xf>
    <xf numFmtId="0" fontId="19" fillId="0" borderId="21" xfId="0" applyFont="1" applyBorder="1"/>
    <xf numFmtId="0" fontId="36" fillId="2" borderId="0" xfId="0" applyFont="1" applyFill="1" applyAlignment="1">
      <alignment vertical="center"/>
    </xf>
    <xf numFmtId="0" fontId="36" fillId="2" borderId="4" xfId="0" applyFont="1" applyFill="1" applyBorder="1" applyAlignment="1">
      <alignment vertical="center"/>
    </xf>
    <xf numFmtId="0" fontId="81" fillId="2" borderId="61" xfId="0" applyFont="1" applyFill="1" applyBorder="1" applyAlignment="1">
      <alignment horizontal="center" vertical="center" wrapText="1"/>
    </xf>
    <xf numFmtId="173" fontId="20" fillId="0" borderId="0" xfId="0" applyNumberFormat="1" applyFont="1" applyAlignment="1">
      <alignment horizontal="center" vertical="center"/>
    </xf>
    <xf numFmtId="0" fontId="43" fillId="0" borderId="0" xfId="0" applyFont="1" applyAlignment="1">
      <alignment vertical="center"/>
    </xf>
    <xf numFmtId="173" fontId="20" fillId="2" borderId="0" xfId="0" applyNumberFormat="1" applyFont="1" applyFill="1" applyAlignment="1">
      <alignment horizontal="center" vertical="center"/>
    </xf>
    <xf numFmtId="173" fontId="19" fillId="0" borderId="0" xfId="0" applyNumberFormat="1" applyFont="1" applyAlignment="1">
      <alignment horizontal="center" vertical="center"/>
    </xf>
    <xf numFmtId="0" fontId="31" fillId="2" borderId="0" xfId="0" applyFont="1" applyFill="1" applyAlignment="1">
      <alignment vertical="center"/>
    </xf>
    <xf numFmtId="0" fontId="31" fillId="2" borderId="33" xfId="0" applyFont="1" applyFill="1" applyBorder="1" applyAlignment="1">
      <alignment horizontal="center" vertical="center" wrapText="1"/>
    </xf>
    <xf numFmtId="0" fontId="31" fillId="2" borderId="7" xfId="0" applyFont="1" applyFill="1" applyBorder="1" applyAlignment="1">
      <alignment horizontal="center" vertical="center" wrapText="1"/>
    </xf>
    <xf numFmtId="38" fontId="46" fillId="0" borderId="0" xfId="0" applyNumberFormat="1" applyFont="1" applyAlignment="1">
      <alignment horizontal="center" vertical="center"/>
    </xf>
    <xf numFmtId="38" fontId="20" fillId="4" borderId="0" xfId="0" applyNumberFormat="1" applyFont="1" applyFill="1" applyAlignment="1" applyProtection="1">
      <alignment horizontal="center" vertical="center"/>
      <protection locked="0"/>
    </xf>
    <xf numFmtId="38" fontId="46" fillId="0" borderId="15" xfId="0" applyNumberFormat="1" applyFont="1" applyBorder="1" applyAlignment="1">
      <alignment horizontal="center" vertical="center"/>
    </xf>
    <xf numFmtId="0" fontId="46" fillId="0" borderId="0" xfId="0" applyFont="1" applyAlignment="1">
      <alignment horizontal="center" vertical="center"/>
    </xf>
    <xf numFmtId="38" fontId="46" fillId="2" borderId="15" xfId="0" applyNumberFormat="1" applyFont="1" applyFill="1" applyBorder="1" applyAlignment="1">
      <alignment horizontal="center" vertical="center"/>
    </xf>
    <xf numFmtId="38" fontId="46" fillId="2" borderId="0" xfId="0" applyNumberFormat="1" applyFont="1" applyFill="1" applyAlignment="1">
      <alignment horizontal="center" vertical="center"/>
    </xf>
    <xf numFmtId="0" fontId="46" fillId="2" borderId="0" xfId="0" applyFont="1" applyFill="1" applyAlignment="1">
      <alignment horizontal="center" vertical="center"/>
    </xf>
    <xf numFmtId="38" fontId="42" fillId="0" borderId="15" xfId="0" applyNumberFormat="1" applyFont="1" applyBorder="1" applyAlignment="1">
      <alignment horizontal="center" vertical="center"/>
    </xf>
    <xf numFmtId="38" fontId="42" fillId="0" borderId="0" xfId="0" applyNumberFormat="1" applyFont="1" applyAlignment="1">
      <alignment horizontal="center" vertical="center"/>
    </xf>
    <xf numFmtId="0" fontId="0" fillId="2" borderId="15" xfId="0" applyFill="1" applyBorder="1" applyAlignment="1">
      <alignment horizontal="center" vertical="center"/>
    </xf>
    <xf numFmtId="0" fontId="0" fillId="2" borderId="0" xfId="0" applyFill="1" applyAlignment="1">
      <alignment horizontal="center" vertical="center"/>
    </xf>
    <xf numFmtId="38" fontId="19" fillId="0" borderId="15" xfId="0" applyNumberFormat="1" applyFont="1" applyBorder="1" applyAlignment="1">
      <alignment horizontal="center" vertical="center"/>
    </xf>
    <xf numFmtId="38" fontId="19" fillId="0" borderId="0" xfId="0" applyNumberFormat="1" applyFont="1" applyAlignment="1">
      <alignment horizontal="center" vertical="center"/>
    </xf>
    <xf numFmtId="0" fontId="46" fillId="2" borderId="15" xfId="0" applyFont="1" applyFill="1" applyBorder="1" applyAlignment="1">
      <alignment horizontal="center" vertical="center"/>
    </xf>
    <xf numFmtId="0" fontId="28" fillId="0" borderId="0" xfId="0" applyFont="1" applyAlignment="1">
      <alignment horizontal="center" vertical="center"/>
    </xf>
    <xf numFmtId="0" fontId="3" fillId="0" borderId="0" xfId="0" applyFont="1"/>
    <xf numFmtId="0" fontId="3" fillId="0" borderId="9" xfId="0" applyFont="1" applyBorder="1"/>
    <xf numFmtId="38" fontId="19" fillId="0" borderId="21" xfId="1" applyNumberFormat="1" applyFont="1" applyBorder="1" applyAlignment="1">
      <alignment horizontal="center" vertical="center"/>
    </xf>
    <xf numFmtId="38" fontId="20" fillId="4" borderId="27" xfId="1" applyNumberFormat="1" applyFont="1" applyFill="1" applyBorder="1" applyAlignment="1" applyProtection="1">
      <alignment horizontal="center" vertical="center" shrinkToFit="1"/>
      <protection locked="0"/>
    </xf>
    <xf numFmtId="38" fontId="20" fillId="4" borderId="45" xfId="1" applyNumberFormat="1" applyFont="1" applyFill="1" applyBorder="1" applyAlignment="1" applyProtection="1">
      <alignment horizontal="center" vertical="center" shrinkToFit="1"/>
      <protection locked="0"/>
    </xf>
    <xf numFmtId="38" fontId="20" fillId="4" borderId="46" xfId="1" applyNumberFormat="1" applyFont="1" applyFill="1" applyBorder="1" applyAlignment="1" applyProtection="1">
      <alignment horizontal="center" vertical="center" shrinkToFit="1"/>
      <protection locked="0"/>
    </xf>
    <xf numFmtId="38" fontId="8" fillId="0" borderId="17" xfId="71" applyNumberFormat="1" applyBorder="1"/>
    <xf numFmtId="38" fontId="20" fillId="4" borderId="72" xfId="71" applyNumberFormat="1" applyFont="1" applyFill="1" applyBorder="1" applyAlignment="1" applyProtection="1">
      <alignment horizontal="center" shrinkToFit="1"/>
      <protection locked="0"/>
    </xf>
    <xf numFmtId="38" fontId="20" fillId="4" borderId="27" xfId="71" applyNumberFormat="1" applyFont="1" applyFill="1" applyBorder="1" applyAlignment="1" applyProtection="1">
      <alignment horizontal="center" shrinkToFit="1"/>
      <protection locked="0"/>
    </xf>
    <xf numFmtId="38" fontId="20" fillId="4" borderId="45" xfId="71" applyNumberFormat="1" applyFont="1" applyFill="1" applyBorder="1" applyAlignment="1" applyProtection="1">
      <alignment horizontal="center" shrinkToFit="1"/>
      <protection locked="0"/>
    </xf>
    <xf numFmtId="38" fontId="70" fillId="0" borderId="21" xfId="71" applyNumberFormat="1" applyFont="1" applyBorder="1" applyAlignment="1">
      <alignment horizontal="center"/>
    </xf>
    <xf numFmtId="38" fontId="0" fillId="0" borderId="0" xfId="0" applyNumberFormat="1" applyAlignment="1">
      <alignment horizontal="center" vertical="center"/>
    </xf>
    <xf numFmtId="0" fontId="10" fillId="0" borderId="17" xfId="0" applyFont="1" applyBorder="1" applyAlignment="1">
      <alignment vertical="center"/>
    </xf>
    <xf numFmtId="0" fontId="36" fillId="2" borderId="0" xfId="0" applyFont="1" applyFill="1" applyAlignment="1">
      <alignment horizontal="left"/>
    </xf>
    <xf numFmtId="0" fontId="36" fillId="2" borderId="0" xfId="0" applyFont="1" applyFill="1" applyAlignment="1">
      <alignment horizontal="left" wrapText="1"/>
    </xf>
    <xf numFmtId="0" fontId="36" fillId="2" borderId="61" xfId="0" applyFont="1" applyFill="1" applyBorder="1" applyAlignment="1">
      <alignment horizontal="right" wrapText="1"/>
    </xf>
    <xf numFmtId="0" fontId="36" fillId="2" borderId="33" xfId="0" applyFont="1" applyFill="1" applyBorder="1" applyAlignment="1">
      <alignment horizontal="right" wrapText="1"/>
    </xf>
    <xf numFmtId="0" fontId="36" fillId="2" borderId="7" xfId="0" applyFont="1" applyFill="1" applyBorder="1" applyAlignment="1">
      <alignment horizontal="right" wrapText="1"/>
    </xf>
    <xf numFmtId="0" fontId="36" fillId="2" borderId="8" xfId="0" applyFont="1" applyFill="1" applyBorder="1" applyAlignment="1">
      <alignment horizontal="right" wrapText="1"/>
    </xf>
    <xf numFmtId="37" fontId="83" fillId="0" borderId="0" xfId="0" applyNumberFormat="1" applyFont="1" applyAlignment="1">
      <alignment horizontal="left"/>
    </xf>
    <xf numFmtId="173" fontId="18" fillId="0" borderId="0" xfId="0" applyNumberFormat="1" applyFont="1" applyAlignment="1" applyProtection="1">
      <alignment shrinkToFit="1"/>
      <protection locked="0"/>
    </xf>
    <xf numFmtId="38" fontId="83" fillId="0" borderId="61" xfId="0" applyNumberFormat="1" applyFont="1" applyBorder="1" applyAlignment="1">
      <alignment horizontal="right"/>
    </xf>
    <xf numFmtId="38" fontId="83" fillId="0" borderId="0" xfId="0" applyNumberFormat="1" applyFont="1" applyAlignment="1">
      <alignment horizontal="right"/>
    </xf>
    <xf numFmtId="173" fontId="18" fillId="4" borderId="0" xfId="0" applyNumberFormat="1" applyFont="1" applyFill="1" applyAlignment="1" applyProtection="1">
      <alignment shrinkToFit="1"/>
      <protection locked="0"/>
    </xf>
    <xf numFmtId="38" fontId="18" fillId="0" borderId="15" xfId="0" applyNumberFormat="1" applyFont="1" applyBorder="1"/>
    <xf numFmtId="0" fontId="18" fillId="0" borderId="0" xfId="0" applyFont="1" applyAlignment="1">
      <alignment horizontal="right"/>
    </xf>
    <xf numFmtId="0" fontId="18" fillId="0" borderId="0" xfId="0" applyFont="1" applyAlignment="1">
      <alignment shrinkToFit="1"/>
    </xf>
    <xf numFmtId="38" fontId="83" fillId="0" borderId="15" xfId="0" applyNumberFormat="1" applyFont="1" applyBorder="1" applyAlignment="1">
      <alignment horizontal="right"/>
    </xf>
    <xf numFmtId="38" fontId="83" fillId="0" borderId="0" xfId="0" applyNumberFormat="1" applyFont="1" applyAlignment="1" applyProtection="1">
      <alignment horizontal="right"/>
      <protection locked="0"/>
    </xf>
    <xf numFmtId="0" fontId="18" fillId="0" borderId="0" xfId="0" applyFont="1" applyProtection="1">
      <protection locked="0"/>
    </xf>
    <xf numFmtId="9" fontId="18" fillId="0" borderId="0" xfId="0" applyNumberFormat="1" applyFont="1" applyAlignment="1">
      <alignment horizontal="right"/>
    </xf>
    <xf numFmtId="0" fontId="18" fillId="0" borderId="0" xfId="0" applyFont="1" applyAlignment="1" applyProtection="1">
      <alignment shrinkToFit="1"/>
      <protection locked="0"/>
    </xf>
    <xf numFmtId="38" fontId="18" fillId="0" borderId="15" xfId="0" applyNumberFormat="1" applyFont="1" applyBorder="1" applyAlignment="1">
      <alignment shrinkToFit="1"/>
    </xf>
    <xf numFmtId="38" fontId="83" fillId="0" borderId="0" xfId="0" applyNumberFormat="1" applyFont="1" applyAlignment="1" applyProtection="1">
      <alignment horizontal="right" shrinkToFit="1"/>
      <protection locked="0"/>
    </xf>
    <xf numFmtId="38" fontId="18" fillId="4" borderId="15" xfId="0" applyNumberFormat="1" applyFont="1" applyFill="1" applyBorder="1" applyAlignment="1" applyProtection="1">
      <alignment shrinkToFit="1"/>
      <protection locked="0"/>
    </xf>
    <xf numFmtId="38" fontId="18" fillId="4" borderId="0" xfId="0" applyNumberFormat="1" applyFont="1" applyFill="1" applyAlignment="1" applyProtection="1">
      <alignment horizontal="right" shrinkToFit="1"/>
      <protection locked="0"/>
    </xf>
    <xf numFmtId="37" fontId="82" fillId="0" borderId="0" xfId="0" applyNumberFormat="1" applyFont="1" applyAlignment="1">
      <alignment horizontal="left"/>
    </xf>
    <xf numFmtId="173" fontId="18" fillId="0" borderId="0" xfId="0" applyNumberFormat="1" applyFont="1"/>
    <xf numFmtId="38" fontId="82" fillId="0" borderId="84" xfId="0" applyNumberFormat="1" applyFont="1" applyBorder="1" applyAlignment="1">
      <alignment horizontal="right"/>
    </xf>
    <xf numFmtId="38" fontId="82" fillId="0" borderId="83" xfId="0" applyNumberFormat="1" applyFont="1" applyBorder="1" applyAlignment="1">
      <alignment horizontal="right"/>
    </xf>
    <xf numFmtId="0" fontId="83" fillId="0" borderId="0" xfId="0" applyFont="1"/>
    <xf numFmtId="0" fontId="83" fillId="0" borderId="0" xfId="0" applyFont="1" applyAlignment="1">
      <alignment horizontal="right"/>
    </xf>
    <xf numFmtId="173" fontId="16" fillId="2" borderId="0" xfId="0" applyNumberFormat="1" applyFont="1" applyFill="1"/>
    <xf numFmtId="38" fontId="83" fillId="2" borderId="15" xfId="0" applyNumberFormat="1" applyFont="1" applyFill="1" applyBorder="1" applyAlignment="1">
      <alignment horizontal="right"/>
    </xf>
    <xf numFmtId="38" fontId="83" fillId="2" borderId="0" xfId="0" applyNumberFormat="1" applyFont="1" applyFill="1" applyAlignment="1">
      <alignment horizontal="right"/>
    </xf>
    <xf numFmtId="0" fontId="83" fillId="2" borderId="0" xfId="0" applyFont="1" applyFill="1" applyAlignment="1">
      <alignment horizontal="right"/>
    </xf>
    <xf numFmtId="38" fontId="18" fillId="0" borderId="15" xfId="0" applyNumberFormat="1" applyFont="1" applyBorder="1" applyAlignment="1">
      <alignment horizontal="right"/>
    </xf>
    <xf numFmtId="38" fontId="18" fillId="0" borderId="0" xfId="0" applyNumberFormat="1" applyFont="1" applyAlignment="1">
      <alignment horizontal="right"/>
    </xf>
    <xf numFmtId="38" fontId="18" fillId="0" borderId="16" xfId="0" applyNumberFormat="1" applyFont="1" applyBorder="1" applyAlignment="1">
      <alignment horizontal="right"/>
    </xf>
    <xf numFmtId="38" fontId="18" fillId="0" borderId="6" xfId="0" applyNumberFormat="1" applyFont="1" applyBorder="1" applyAlignment="1">
      <alignment horizontal="right"/>
    </xf>
    <xf numFmtId="10" fontId="84" fillId="0" borderId="0" xfId="0" applyNumberFormat="1" applyFont="1" applyAlignment="1">
      <alignment horizontal="right"/>
    </xf>
    <xf numFmtId="38" fontId="82" fillId="0" borderId="15" xfId="0" applyNumberFormat="1" applyFont="1" applyBorder="1" applyAlignment="1">
      <alignment horizontal="right"/>
    </xf>
    <xf numFmtId="38" fontId="82" fillId="0" borderId="0" xfId="0" applyNumberFormat="1" applyFont="1" applyAlignment="1">
      <alignment horizontal="right"/>
    </xf>
    <xf numFmtId="0" fontId="82" fillId="0" borderId="0" xfId="0" applyFont="1" applyAlignment="1">
      <alignment horizontal="left"/>
    </xf>
    <xf numFmtId="0" fontId="82" fillId="0" borderId="0" xfId="0" applyFont="1"/>
    <xf numFmtId="173" fontId="18" fillId="2" borderId="0" xfId="0" applyNumberFormat="1" applyFont="1" applyFill="1"/>
    <xf numFmtId="0" fontId="18" fillId="2" borderId="15" xfId="0" applyFont="1" applyFill="1" applyBorder="1"/>
    <xf numFmtId="0" fontId="18" fillId="2" borderId="0" xfId="0" applyFont="1" applyFill="1"/>
    <xf numFmtId="10" fontId="18" fillId="0" borderId="0" xfId="0" applyNumberFormat="1" applyFont="1" applyAlignment="1">
      <alignment horizontal="right"/>
    </xf>
    <xf numFmtId="38" fontId="16" fillId="0" borderId="15" xfId="0" applyNumberFormat="1" applyFont="1" applyBorder="1" applyAlignment="1">
      <alignment horizontal="right"/>
    </xf>
    <xf numFmtId="38" fontId="16" fillId="0" borderId="0" xfId="0" applyNumberFormat="1" applyFont="1" applyAlignment="1">
      <alignment horizontal="right"/>
    </xf>
    <xf numFmtId="173" fontId="18" fillId="0" borderId="0" xfId="0" applyNumberFormat="1" applyFont="1" applyAlignment="1">
      <alignment horizontal="right"/>
    </xf>
    <xf numFmtId="173" fontId="16" fillId="0" borderId="0" xfId="0" applyNumberFormat="1" applyFont="1" applyAlignment="1">
      <alignment horizontal="right"/>
    </xf>
    <xf numFmtId="0" fontId="36" fillId="2" borderId="0" xfId="0" applyFont="1" applyFill="1"/>
    <xf numFmtId="0" fontId="83" fillId="2" borderId="15" xfId="0" applyFont="1" applyFill="1" applyBorder="1" applyAlignment="1">
      <alignment horizontal="right"/>
    </xf>
    <xf numFmtId="37" fontId="83" fillId="0" borderId="0" xfId="0" applyNumberFormat="1" applyFont="1"/>
    <xf numFmtId="37" fontId="18" fillId="0" borderId="0" xfId="0" applyNumberFormat="1" applyFont="1"/>
    <xf numFmtId="0" fontId="16" fillId="0" borderId="0" xfId="0" applyFont="1" applyAlignment="1">
      <alignment horizontal="left"/>
    </xf>
    <xf numFmtId="38" fontId="16" fillId="0" borderId="33" xfId="0" applyNumberFormat="1" applyFont="1" applyBorder="1" applyAlignment="1">
      <alignment horizontal="right"/>
    </xf>
    <xf numFmtId="38" fontId="16" fillId="0" borderId="7" xfId="0" applyNumberFormat="1" applyFont="1" applyBorder="1" applyAlignment="1">
      <alignment horizontal="right"/>
    </xf>
    <xf numFmtId="37" fontId="16" fillId="0" borderId="0" xfId="0" applyNumberFormat="1" applyFont="1"/>
    <xf numFmtId="38" fontId="16" fillId="0" borderId="84" xfId="0" applyNumberFormat="1" applyFont="1" applyBorder="1" applyAlignment="1">
      <alignment horizontal="right"/>
    </xf>
    <xf numFmtId="38" fontId="16" fillId="0" borderId="83" xfId="0" applyNumberFormat="1" applyFont="1" applyBorder="1" applyAlignment="1">
      <alignment horizontal="right"/>
    </xf>
    <xf numFmtId="37" fontId="16" fillId="0" borderId="0" xfId="0" applyNumberFormat="1" applyFont="1" applyAlignment="1">
      <alignment horizontal="right"/>
    </xf>
    <xf numFmtId="0" fontId="16" fillId="2" borderId="0" xfId="0" applyFont="1" applyFill="1"/>
    <xf numFmtId="38" fontId="18" fillId="2" borderId="15" xfId="0" applyNumberFormat="1" applyFont="1" applyFill="1" applyBorder="1" applyAlignment="1">
      <alignment horizontal="right"/>
    </xf>
    <xf numFmtId="38" fontId="18" fillId="2" borderId="0" xfId="0" applyNumberFormat="1" applyFont="1" applyFill="1" applyAlignment="1">
      <alignment horizontal="right"/>
    </xf>
    <xf numFmtId="0" fontId="18" fillId="2" borderId="0" xfId="0" applyFont="1" applyFill="1" applyAlignment="1">
      <alignment horizontal="right"/>
    </xf>
    <xf numFmtId="38" fontId="18" fillId="0" borderId="0" xfId="0" applyNumberFormat="1" applyFont="1" applyAlignment="1" applyProtection="1">
      <alignment horizontal="right"/>
      <protection locked="0"/>
    </xf>
    <xf numFmtId="38" fontId="18" fillId="4" borderId="15" xfId="0" applyNumberFormat="1" applyFont="1" applyFill="1" applyBorder="1" applyAlignment="1" applyProtection="1">
      <alignment horizontal="right" shrinkToFit="1"/>
      <protection locked="0"/>
    </xf>
    <xf numFmtId="37" fontId="18" fillId="0" borderId="0" xfId="0" applyNumberFormat="1" applyFont="1" applyAlignment="1">
      <alignment vertical="center"/>
    </xf>
    <xf numFmtId="38" fontId="18" fillId="0" borderId="84" xfId="0" applyNumberFormat="1" applyFont="1" applyBorder="1" applyAlignment="1">
      <alignment horizontal="right" vertical="center"/>
    </xf>
    <xf numFmtId="38" fontId="18" fillId="0" borderId="83" xfId="0" applyNumberFormat="1" applyFont="1" applyBorder="1" applyAlignment="1">
      <alignment horizontal="right" vertical="center"/>
    </xf>
    <xf numFmtId="0" fontId="18" fillId="0" borderId="0" xfId="0" applyFont="1" applyAlignment="1">
      <alignment vertical="center"/>
    </xf>
    <xf numFmtId="38" fontId="16" fillId="0" borderId="85" xfId="0" applyNumberFormat="1" applyFont="1" applyBorder="1" applyAlignment="1">
      <alignment horizontal="right"/>
    </xf>
    <xf numFmtId="38" fontId="16" fillId="0" borderId="86" xfId="0" applyNumberFormat="1" applyFont="1" applyBorder="1" applyAlignment="1">
      <alignment horizontal="right"/>
    </xf>
    <xf numFmtId="39" fontId="16" fillId="0" borderId="0" xfId="0" applyNumberFormat="1" applyFont="1" applyAlignment="1">
      <alignment horizontal="left"/>
    </xf>
    <xf numFmtId="39" fontId="36" fillId="2" borderId="0" xfId="0" applyNumberFormat="1" applyFont="1" applyFill="1" applyAlignment="1">
      <alignment horizontal="left"/>
    </xf>
    <xf numFmtId="0" fontId="85" fillId="2" borderId="0" xfId="0" applyFont="1" applyFill="1"/>
    <xf numFmtId="40" fontId="16" fillId="0" borderId="0" xfId="0" applyNumberFormat="1" applyFont="1" applyAlignment="1">
      <alignment horizontal="right"/>
    </xf>
    <xf numFmtId="37" fontId="36" fillId="0" borderId="0" xfId="0" applyNumberFormat="1" applyFont="1"/>
    <xf numFmtId="9" fontId="86" fillId="0" borderId="0" xfId="0" applyNumberFormat="1" applyFont="1"/>
    <xf numFmtId="38" fontId="85" fillId="0" borderId="0" xfId="0" applyNumberFormat="1" applyFont="1"/>
    <xf numFmtId="37" fontId="85" fillId="0" borderId="0" xfId="0" applyNumberFormat="1" applyFont="1"/>
    <xf numFmtId="0" fontId="85" fillId="0" borderId="0" xfId="0" applyFont="1"/>
    <xf numFmtId="38" fontId="85" fillId="0" borderId="0" xfId="0" applyNumberFormat="1" applyFont="1" applyProtection="1">
      <protection locked="0"/>
    </xf>
    <xf numFmtId="0" fontId="18" fillId="0" borderId="33" xfId="0" applyFont="1" applyBorder="1"/>
    <xf numFmtId="0" fontId="18" fillId="0" borderId="7" xfId="0" applyFont="1" applyBorder="1"/>
    <xf numFmtId="0" fontId="18" fillId="0" borderId="26" xfId="0" applyFont="1" applyBorder="1" applyProtection="1">
      <protection locked="0"/>
    </xf>
    <xf numFmtId="38" fontId="85" fillId="4" borderId="0" xfId="0" applyNumberFormat="1" applyFont="1" applyFill="1"/>
    <xf numFmtId="38" fontId="36" fillId="0" borderId="0" xfId="0" applyNumberFormat="1" applyFont="1" applyAlignment="1">
      <alignment horizontal="center"/>
    </xf>
    <xf numFmtId="38" fontId="36" fillId="0" borderId="0" xfId="0" applyNumberFormat="1" applyFont="1"/>
    <xf numFmtId="38" fontId="87" fillId="0" borderId="0" xfId="0" applyNumberFormat="1" applyFont="1" applyAlignment="1">
      <alignment horizontal="center"/>
    </xf>
    <xf numFmtId="0" fontId="88" fillId="0" borderId="0" xfId="0" applyFont="1" applyAlignment="1">
      <alignment horizontal="right"/>
    </xf>
    <xf numFmtId="38" fontId="85" fillId="0" borderId="0" xfId="8" applyNumberFormat="1" applyFont="1"/>
    <xf numFmtId="9" fontId="85" fillId="0" borderId="0" xfId="0" applyNumberFormat="1" applyFont="1" applyProtection="1">
      <protection locked="0"/>
    </xf>
    <xf numFmtId="38" fontId="85" fillId="0" borderId="0" xfId="73" applyNumberFormat="1" applyFont="1"/>
    <xf numFmtId="38" fontId="85" fillId="0" borderId="0" xfId="1" applyNumberFormat="1" applyFont="1"/>
    <xf numFmtId="37" fontId="85" fillId="0" borderId="0" xfId="0" applyNumberFormat="1" applyFont="1" applyProtection="1">
      <protection locked="0"/>
    </xf>
    <xf numFmtId="9" fontId="85" fillId="0" borderId="0" xfId="0" applyNumberFormat="1" applyFont="1"/>
    <xf numFmtId="170" fontId="85" fillId="0" borderId="0" xfId="1" applyNumberFormat="1" applyFont="1"/>
    <xf numFmtId="6" fontId="18" fillId="0" borderId="0" xfId="0" applyNumberFormat="1" applyFont="1"/>
    <xf numFmtId="38" fontId="85" fillId="0" borderId="0" xfId="0" applyNumberFormat="1" applyFont="1" applyAlignment="1">
      <alignment horizontal="right"/>
    </xf>
    <xf numFmtId="9" fontId="89" fillId="0" borderId="0" xfId="0" applyNumberFormat="1" applyFont="1"/>
    <xf numFmtId="0" fontId="3" fillId="0" borderId="33" xfId="0" applyFont="1" applyBorder="1"/>
    <xf numFmtId="0" fontId="3" fillId="0" borderId="7" xfId="0" applyFont="1" applyBorder="1"/>
    <xf numFmtId="0" fontId="12" fillId="0" borderId="7" xfId="0" applyFont="1" applyBorder="1" applyAlignment="1">
      <alignment horizontal="left"/>
    </xf>
    <xf numFmtId="0" fontId="96" fillId="4" borderId="7" xfId="0" applyFont="1" applyFill="1" applyBorder="1" applyAlignment="1" applyProtection="1">
      <alignment horizontal="left" shrinkToFit="1"/>
      <protection locked="0"/>
    </xf>
    <xf numFmtId="0" fontId="3" fillId="0" borderId="7" xfId="0" applyFont="1" applyBorder="1" applyAlignment="1">
      <alignment horizontal="left"/>
    </xf>
    <xf numFmtId="0" fontId="47" fillId="0" borderId="7" xfId="0" applyFont="1" applyBorder="1"/>
    <xf numFmtId="0" fontId="19" fillId="0" borderId="8" xfId="0" applyFont="1" applyBorder="1" applyAlignment="1">
      <alignment horizontal="right"/>
    </xf>
    <xf numFmtId="0" fontId="74" fillId="0" borderId="0" xfId="0" applyFont="1" applyAlignment="1">
      <alignment horizontal="left"/>
    </xf>
    <xf numFmtId="0" fontId="47" fillId="0" borderId="0" xfId="0" applyFont="1"/>
    <xf numFmtId="0" fontId="47" fillId="0" borderId="0" xfId="0" applyFont="1" applyAlignment="1">
      <alignment horizontal="right"/>
    </xf>
    <xf numFmtId="0" fontId="31" fillId="0" borderId="0" xfId="0" applyFont="1" applyAlignment="1">
      <alignment horizontal="right"/>
    </xf>
    <xf numFmtId="38" fontId="0" fillId="0" borderId="0" xfId="0" applyNumberFormat="1"/>
    <xf numFmtId="9" fontId="20" fillId="0" borderId="26" xfId="73" applyFont="1" applyBorder="1" applyAlignment="1" applyProtection="1">
      <alignment horizontal="center" shrinkToFit="1"/>
      <protection locked="0"/>
    </xf>
    <xf numFmtId="0" fontId="20" fillId="0" borderId="26" xfId="73" applyNumberFormat="1" applyFont="1" applyBorder="1" applyAlignment="1" applyProtection="1">
      <alignment horizontal="center" shrinkToFit="1"/>
      <protection locked="0"/>
    </xf>
    <xf numFmtId="0" fontId="2" fillId="4" borderId="87" xfId="0" applyFont="1" applyFill="1" applyBorder="1" applyAlignment="1" applyProtection="1">
      <alignment horizontal="center" shrinkToFit="1"/>
      <protection locked="0"/>
    </xf>
    <xf numFmtId="0" fontId="2" fillId="4" borderId="25" xfId="0" applyFont="1" applyFill="1" applyBorder="1" applyAlignment="1" applyProtection="1">
      <alignment horizontal="center" shrinkToFit="1"/>
      <protection locked="0"/>
    </xf>
    <xf numFmtId="0" fontId="6" fillId="6" borderId="61" xfId="0" applyFont="1" applyFill="1" applyBorder="1" applyAlignment="1">
      <alignment horizontal="center"/>
    </xf>
    <xf numFmtId="0" fontId="6" fillId="6" borderId="2" xfId="0" applyFont="1" applyFill="1" applyBorder="1" applyAlignment="1">
      <alignment horizontal="center"/>
    </xf>
    <xf numFmtId="0" fontId="19" fillId="10" borderId="27" xfId="24" applyFont="1" applyFill="1" applyBorder="1" applyAlignment="1">
      <alignment horizontal="center" vertical="center" wrapText="1"/>
    </xf>
    <xf numFmtId="0" fontId="19" fillId="10" borderId="27" xfId="50" applyFont="1" applyFill="1" applyBorder="1" applyAlignment="1">
      <alignment horizontal="center" vertical="center" wrapText="1"/>
    </xf>
    <xf numFmtId="164" fontId="19" fillId="10" borderId="27" xfId="50" applyNumberFormat="1" applyFont="1" applyFill="1" applyBorder="1" applyAlignment="1">
      <alignment horizontal="center" vertical="center" wrapText="1"/>
    </xf>
    <xf numFmtId="9" fontId="97" fillId="10" borderId="46" xfId="76" applyFont="1" applyFill="1" applyBorder="1" applyAlignment="1">
      <alignment horizontal="center" vertical="center" wrapText="1"/>
    </xf>
    <xf numFmtId="0" fontId="97" fillId="11" borderId="46" xfId="36" applyFont="1" applyFill="1" applyBorder="1" applyAlignment="1">
      <alignment horizontal="center" vertical="center" wrapText="1"/>
    </xf>
    <xf numFmtId="164" fontId="97" fillId="11" borderId="46" xfId="36" applyNumberFormat="1" applyFont="1" applyFill="1" applyBorder="1" applyAlignment="1">
      <alignment horizontal="center" vertical="center" wrapText="1"/>
    </xf>
    <xf numFmtId="40" fontId="0" fillId="0" borderId="0" xfId="0" applyNumberFormat="1"/>
    <xf numFmtId="3" fontId="0" fillId="0" borderId="0" xfId="0" applyNumberFormat="1"/>
    <xf numFmtId="0" fontId="6" fillId="0" borderId="0" xfId="0" applyFont="1" applyAlignment="1">
      <alignment wrapText="1"/>
    </xf>
    <xf numFmtId="0" fontId="69" fillId="0" borderId="0" xfId="23" applyFont="1" applyAlignment="1" applyProtection="1">
      <alignment shrinkToFit="1"/>
      <protection locked="0"/>
    </xf>
    <xf numFmtId="164" fontId="69" fillId="0" borderId="0" xfId="0" applyNumberFormat="1" applyFont="1" applyAlignment="1" applyProtection="1">
      <alignment shrinkToFit="1"/>
      <protection locked="0"/>
    </xf>
    <xf numFmtId="0" fontId="72" fillId="0" borderId="0" xfId="0" applyFont="1"/>
    <xf numFmtId="0" fontId="12" fillId="0" borderId="0" xfId="21" applyFont="1"/>
    <xf numFmtId="0" fontId="24" fillId="0" borderId="0" xfId="0" applyFont="1" applyAlignment="1">
      <alignment vertical="center"/>
    </xf>
    <xf numFmtId="9" fontId="20" fillId="0" borderId="0" xfId="73" applyFont="1" applyAlignment="1">
      <alignment horizontal="left"/>
    </xf>
    <xf numFmtId="6" fontId="46" fillId="4" borderId="24" xfId="0" applyNumberFormat="1" applyFont="1" applyFill="1" applyBorder="1" applyAlignment="1" applyProtection="1">
      <alignment horizontal="right" vertical="center" shrinkToFit="1"/>
      <protection locked="0"/>
    </xf>
    <xf numFmtId="0" fontId="3" fillId="0" borderId="5" xfId="0" applyFont="1" applyBorder="1" applyAlignment="1">
      <alignment vertical="center"/>
    </xf>
    <xf numFmtId="6" fontId="46" fillId="0" borderId="46" xfId="0" applyNumberFormat="1" applyFont="1" applyBorder="1" applyAlignment="1">
      <alignment vertical="center" shrinkToFit="1"/>
    </xf>
    <xf numFmtId="6" fontId="46" fillId="4" borderId="72" xfId="0" applyNumberFormat="1" applyFont="1" applyFill="1" applyBorder="1" applyAlignment="1" applyProtection="1">
      <alignment horizontal="right" vertical="center" shrinkToFit="1"/>
      <protection locked="0"/>
    </xf>
    <xf numFmtId="6" fontId="46" fillId="0" borderId="48" xfId="0" applyNumberFormat="1" applyFont="1" applyBorder="1" applyAlignment="1">
      <alignment horizontal="right" vertical="center" shrinkToFit="1"/>
    </xf>
    <xf numFmtId="6" fontId="46" fillId="4" borderId="79" xfId="0" applyNumberFormat="1" applyFont="1" applyFill="1" applyBorder="1" applyAlignment="1" applyProtection="1">
      <alignment horizontal="right" vertical="center" shrinkToFit="1"/>
      <protection locked="0"/>
    </xf>
    <xf numFmtId="2" fontId="0" fillId="0" borderId="14" xfId="0" applyNumberFormat="1" applyBorder="1"/>
    <xf numFmtId="173" fontId="46" fillId="4" borderId="27" xfId="73" applyNumberFormat="1" applyFont="1" applyFill="1" applyBorder="1" applyAlignment="1" applyProtection="1">
      <alignment horizontal="right" vertical="center" shrinkToFit="1"/>
      <protection locked="0"/>
    </xf>
    <xf numFmtId="0" fontId="20" fillId="0" borderId="38" xfId="0" applyFont="1" applyBorder="1" applyAlignment="1">
      <alignment vertical="center"/>
    </xf>
    <xf numFmtId="173" fontId="46" fillId="4" borderId="46" xfId="73" applyNumberFormat="1" applyFont="1" applyFill="1" applyBorder="1" applyAlignment="1" applyProtection="1">
      <alignment horizontal="right" vertical="center" shrinkToFit="1"/>
      <protection locked="0"/>
    </xf>
    <xf numFmtId="6" fontId="46" fillId="0" borderId="21" xfId="0" applyNumberFormat="1" applyFont="1" applyBorder="1" applyAlignment="1">
      <alignment horizontal="right" vertical="center"/>
    </xf>
    <xf numFmtId="38" fontId="46" fillId="0" borderId="0" xfId="0" applyNumberFormat="1" applyFont="1" applyAlignment="1" applyProtection="1">
      <alignment horizontal="center" vertical="center"/>
      <protection locked="0"/>
    </xf>
    <xf numFmtId="173" fontId="20" fillId="0" borderId="0" xfId="0" applyNumberFormat="1" applyFont="1" applyAlignment="1" applyProtection="1">
      <alignment horizontal="center" vertical="center" shrinkToFit="1"/>
      <protection locked="0"/>
    </xf>
    <xf numFmtId="173" fontId="20" fillId="12" borderId="0" xfId="0" applyNumberFormat="1" applyFont="1" applyFill="1" applyAlignment="1" applyProtection="1">
      <alignment horizontal="center" vertical="center" shrinkToFit="1"/>
      <protection locked="0"/>
    </xf>
    <xf numFmtId="0" fontId="3" fillId="0" borderId="0" xfId="0" applyFont="1" applyAlignment="1">
      <alignment vertical="center"/>
    </xf>
    <xf numFmtId="173" fontId="3" fillId="0" borderId="0" xfId="0" applyNumberFormat="1" applyFont="1" applyAlignment="1" applyProtection="1">
      <alignment horizontal="center" vertical="center" shrinkToFit="1"/>
      <protection locked="0"/>
    </xf>
    <xf numFmtId="38" fontId="3" fillId="0" borderId="15" xfId="0" applyNumberFormat="1" applyFont="1" applyBorder="1" applyAlignment="1">
      <alignment horizontal="center" vertical="center"/>
    </xf>
    <xf numFmtId="38" fontId="3" fillId="0" borderId="0" xfId="0" applyNumberFormat="1" applyFont="1" applyAlignment="1">
      <alignment horizontal="center" vertical="center"/>
    </xf>
    <xf numFmtId="173" fontId="3" fillId="0" borderId="4" xfId="0" applyNumberFormat="1" applyFont="1" applyBorder="1" applyAlignment="1" applyProtection="1">
      <alignment horizontal="center" vertical="center" shrinkToFit="1"/>
      <protection locked="0"/>
    </xf>
    <xf numFmtId="173" fontId="3" fillId="12" borderId="0" xfId="0" applyNumberFormat="1" applyFont="1" applyFill="1" applyAlignment="1" applyProtection="1">
      <alignment horizontal="center" vertical="center" shrinkToFit="1"/>
      <protection locked="0"/>
    </xf>
    <xf numFmtId="173" fontId="3" fillId="0" borderId="4" xfId="0" applyNumberFormat="1" applyFont="1" applyBorder="1" applyAlignment="1">
      <alignment horizontal="center" vertical="center" shrinkToFit="1"/>
    </xf>
    <xf numFmtId="38" fontId="19" fillId="0" borderId="7" xfId="0" applyNumberFormat="1" applyFont="1" applyBorder="1" applyAlignment="1">
      <alignment horizontal="center" vertical="center"/>
    </xf>
    <xf numFmtId="38" fontId="46" fillId="0" borderId="1" xfId="0" applyNumberFormat="1" applyFont="1" applyBorder="1" applyAlignment="1">
      <alignment horizontal="center" vertical="center"/>
    </xf>
    <xf numFmtId="173" fontId="20" fillId="0" borderId="0" xfId="0" applyNumberFormat="1" applyFont="1" applyAlignment="1">
      <alignment horizontal="center" vertical="center" shrinkToFit="1"/>
    </xf>
    <xf numFmtId="38" fontId="46" fillId="12" borderId="0" xfId="0" applyNumberFormat="1" applyFont="1" applyFill="1" applyAlignment="1" applyProtection="1">
      <alignment horizontal="center" vertical="center"/>
      <protection locked="0"/>
    </xf>
    <xf numFmtId="173" fontId="3" fillId="12" borderId="0" xfId="0" applyNumberFormat="1" applyFont="1" applyFill="1" applyAlignment="1" applyProtection="1">
      <alignment horizontal="center" vertical="center"/>
      <protection locked="0"/>
    </xf>
    <xf numFmtId="38" fontId="3" fillId="0" borderId="0" xfId="0" applyNumberFormat="1" applyFont="1" applyAlignment="1" applyProtection="1">
      <alignment horizontal="center" vertical="center" shrinkToFit="1"/>
      <protection locked="0"/>
    </xf>
    <xf numFmtId="37" fontId="46" fillId="0" borderId="0" xfId="0" applyNumberFormat="1" applyFont="1" applyAlignment="1">
      <alignment horizontal="left" vertical="center"/>
    </xf>
    <xf numFmtId="173" fontId="20" fillId="0" borderId="4" xfId="0" applyNumberFormat="1" applyFont="1" applyBorder="1" applyAlignment="1" applyProtection="1">
      <alignment horizontal="center" vertical="center" shrinkToFit="1"/>
      <protection locked="0"/>
    </xf>
    <xf numFmtId="0" fontId="46" fillId="0" borderId="0" xfId="0" applyFont="1" applyAlignment="1">
      <alignment vertical="center"/>
    </xf>
    <xf numFmtId="173" fontId="20" fillId="0" borderId="4" xfId="0" applyNumberFormat="1" applyFont="1" applyBorder="1" applyAlignment="1">
      <alignment horizontal="center" vertical="center"/>
    </xf>
    <xf numFmtId="0" fontId="3" fillId="0" borderId="0" xfId="0" applyFont="1" applyAlignment="1">
      <alignment horizontal="center" vertical="center"/>
    </xf>
    <xf numFmtId="0" fontId="16" fillId="0" borderId="6" xfId="0" applyFont="1" applyBorder="1" applyAlignment="1">
      <alignment horizontal="center" vertical="center"/>
    </xf>
    <xf numFmtId="164" fontId="18" fillId="0" borderId="0" xfId="0" applyNumberFormat="1" applyFont="1" applyAlignment="1">
      <alignment horizontal="center" vertical="center"/>
    </xf>
    <xf numFmtId="164" fontId="18" fillId="0" borderId="0" xfId="0" applyNumberFormat="1" applyFont="1" applyAlignment="1" applyProtection="1">
      <alignment horizontal="center" vertical="center"/>
      <protection locked="0"/>
    </xf>
    <xf numFmtId="0" fontId="18" fillId="0" borderId="0" xfId="0" applyFont="1" applyAlignment="1">
      <alignment horizontal="center" vertical="center"/>
    </xf>
    <xf numFmtId="0" fontId="31" fillId="2" borderId="6" xfId="0" applyFont="1" applyFill="1" applyBorder="1" applyAlignment="1">
      <alignment horizontal="center" vertical="center" wrapText="1"/>
    </xf>
    <xf numFmtId="49" fontId="0" fillId="0" borderId="0" xfId="0" applyNumberFormat="1"/>
    <xf numFmtId="0" fontId="16" fillId="17" borderId="0" xfId="38" applyFont="1" applyFill="1" applyAlignment="1">
      <alignment horizontal="right" vertical="top"/>
    </xf>
    <xf numFmtId="0" fontId="16" fillId="17" borderId="0" xfId="38" applyFont="1" applyFill="1" applyAlignment="1">
      <alignment horizontal="center" vertical="top"/>
    </xf>
    <xf numFmtId="0" fontId="16" fillId="9" borderId="0" xfId="0" applyFont="1" applyFill="1" applyAlignment="1">
      <alignment horizontal="center" vertical="top"/>
    </xf>
    <xf numFmtId="0" fontId="101" fillId="0" borderId="0" xfId="0" applyFont="1"/>
    <xf numFmtId="2" fontId="0" fillId="0" borderId="6" xfId="0" applyNumberFormat="1" applyBorder="1" applyAlignment="1">
      <alignment vertical="center"/>
    </xf>
    <xf numFmtId="0" fontId="3" fillId="12" borderId="27" xfId="0" applyFont="1" applyFill="1" applyBorder="1" applyAlignment="1" applyProtection="1">
      <alignment vertical="center" shrinkToFit="1"/>
      <protection locked="0"/>
    </xf>
    <xf numFmtId="0" fontId="20" fillId="12" borderId="54" xfId="0" applyFont="1" applyFill="1" applyBorder="1" applyAlignment="1" applyProtection="1">
      <alignment vertical="center" shrinkToFit="1"/>
      <protection locked="0"/>
    </xf>
    <xf numFmtId="0" fontId="3" fillId="17" borderId="0" xfId="0" applyFont="1" applyFill="1"/>
    <xf numFmtId="0" fontId="16" fillId="17" borderId="61" xfId="0" applyFont="1" applyFill="1" applyBorder="1" applyAlignment="1">
      <alignment horizontal="center"/>
    </xf>
    <xf numFmtId="0" fontId="16" fillId="17" borderId="1" xfId="0" quotePrefix="1" applyFont="1" applyFill="1" applyBorder="1" applyAlignment="1">
      <alignment horizontal="center"/>
    </xf>
    <xf numFmtId="0" fontId="16" fillId="17" borderId="2" xfId="0" quotePrefix="1" applyFont="1" applyFill="1" applyBorder="1" applyAlignment="1">
      <alignment horizontal="center"/>
    </xf>
    <xf numFmtId="0" fontId="16" fillId="17" borderId="16" xfId="0" applyFont="1" applyFill="1" applyBorder="1" applyAlignment="1">
      <alignment horizontal="center" wrapText="1"/>
    </xf>
    <xf numFmtId="0" fontId="16" fillId="17" borderId="6" xfId="0" quotePrefix="1" applyFont="1" applyFill="1" applyBorder="1" applyAlignment="1">
      <alignment horizontal="center" vertical="center" wrapText="1"/>
    </xf>
    <xf numFmtId="0" fontId="16" fillId="17" borderId="5" xfId="0" quotePrefix="1" applyFont="1" applyFill="1" applyBorder="1" applyAlignment="1">
      <alignment horizontal="center" vertical="center" wrapText="1"/>
    </xf>
    <xf numFmtId="1" fontId="3" fillId="17" borderId="0" xfId="0" applyNumberFormat="1" applyFont="1" applyFill="1" applyAlignment="1">
      <alignment horizontal="center"/>
    </xf>
    <xf numFmtId="42" fontId="99" fillId="17" borderId="0" xfId="0" applyNumberFormat="1" applyFont="1" applyFill="1" applyAlignment="1">
      <alignment horizontal="right"/>
    </xf>
    <xf numFmtId="41" fontId="0" fillId="17" borderId="0" xfId="0" applyNumberFormat="1" applyFill="1" applyAlignment="1">
      <alignment horizontal="right"/>
    </xf>
    <xf numFmtId="0" fontId="18" fillId="17" borderId="0" xfId="0" applyFont="1" applyFill="1"/>
    <xf numFmtId="0" fontId="18" fillId="17" borderId="0" xfId="0" applyFont="1" applyFill="1" applyAlignment="1">
      <alignment horizontal="right"/>
    </xf>
    <xf numFmtId="0" fontId="101" fillId="0" borderId="9" xfId="71" applyFont="1" applyBorder="1"/>
    <xf numFmtId="172" fontId="20" fillId="0" borderId="27" xfId="1" applyNumberFormat="1" applyFont="1" applyBorder="1" applyAlignment="1">
      <alignment shrinkToFit="1"/>
    </xf>
    <xf numFmtId="172" fontId="20" fillId="4" borderId="27" xfId="1" applyNumberFormat="1" applyFont="1" applyFill="1" applyBorder="1" applyAlignment="1" applyProtection="1">
      <alignment horizontal="center" shrinkToFit="1"/>
      <protection locked="0"/>
    </xf>
    <xf numFmtId="172" fontId="20" fillId="4" borderId="27" xfId="1" applyNumberFormat="1" applyFont="1" applyFill="1" applyBorder="1" applyAlignment="1" applyProtection="1">
      <alignment horizontal="right" shrinkToFit="1"/>
      <protection locked="0"/>
    </xf>
    <xf numFmtId="0" fontId="10" fillId="0" borderId="9" xfId="0" applyFont="1" applyBorder="1" applyAlignment="1" applyProtection="1">
      <alignment vertical="center"/>
      <protection hidden="1"/>
    </xf>
    <xf numFmtId="49" fontId="2" fillId="12" borderId="6" xfId="78" applyNumberFormat="1" applyFill="1" applyBorder="1" applyAlignment="1" applyProtection="1">
      <alignment horizontal="center" vertical="center"/>
      <protection locked="0"/>
    </xf>
    <xf numFmtId="0" fontId="18" fillId="12" borderId="7" xfId="78" applyFont="1" applyFill="1" applyBorder="1" applyAlignment="1" applyProtection="1">
      <alignment horizontal="center" vertical="center"/>
      <protection locked="0"/>
    </xf>
    <xf numFmtId="38" fontId="2" fillId="12" borderId="7" xfId="78" applyNumberFormat="1" applyFill="1" applyBorder="1" applyAlignment="1" applyProtection="1">
      <alignment horizontal="center" vertical="center"/>
      <protection locked="0"/>
    </xf>
    <xf numFmtId="38" fontId="2" fillId="0" borderId="0" xfId="78" applyNumberFormat="1" applyAlignment="1">
      <alignment horizontal="center" vertical="center"/>
    </xf>
    <xf numFmtId="0" fontId="2" fillId="0" borderId="0" xfId="78"/>
    <xf numFmtId="38" fontId="46" fillId="0" borderId="0" xfId="78" applyNumberFormat="1" applyFont="1" applyAlignment="1">
      <alignment horizontal="center" vertical="center"/>
    </xf>
    <xf numFmtId="0" fontId="2" fillId="0" borderId="0" xfId="78" applyAlignment="1">
      <alignment vertical="center"/>
    </xf>
    <xf numFmtId="38" fontId="46" fillId="0" borderId="2" xfId="0" applyNumberFormat="1" applyFont="1" applyBorder="1" applyAlignment="1">
      <alignment horizontal="center" vertical="center"/>
    </xf>
    <xf numFmtId="38" fontId="46" fillId="0" borderId="4" xfId="0" applyNumberFormat="1" applyFont="1" applyBorder="1" applyAlignment="1">
      <alignment horizontal="center" vertical="center"/>
    </xf>
    <xf numFmtId="38" fontId="2" fillId="0" borderId="6" xfId="78" applyNumberFormat="1" applyBorder="1" applyAlignment="1">
      <alignment horizontal="center" vertical="center"/>
    </xf>
    <xf numFmtId="38" fontId="2" fillId="0" borderId="5" xfId="78" applyNumberFormat="1" applyBorder="1" applyAlignment="1">
      <alignment horizontal="center" vertical="center"/>
    </xf>
    <xf numFmtId="38" fontId="2" fillId="0" borderId="4" xfId="78" applyNumberFormat="1" applyBorder="1" applyAlignment="1">
      <alignment horizontal="center" vertical="center"/>
    </xf>
    <xf numFmtId="38" fontId="46" fillId="16" borderId="0" xfId="0" applyNumberFormat="1" applyFont="1" applyFill="1" applyAlignment="1">
      <alignment horizontal="center" vertical="center"/>
    </xf>
    <xf numFmtId="173" fontId="3" fillId="16" borderId="0" xfId="0" applyNumberFormat="1" applyFont="1" applyFill="1" applyAlignment="1" applyProtection="1">
      <alignment horizontal="center" vertical="center" shrinkToFit="1"/>
      <protection locked="0"/>
    </xf>
    <xf numFmtId="173" fontId="3" fillId="16" borderId="4" xfId="0" applyNumberFormat="1" applyFont="1" applyFill="1" applyBorder="1" applyAlignment="1">
      <alignment horizontal="center" vertical="center" shrinkToFit="1"/>
    </xf>
    <xf numFmtId="38" fontId="42" fillId="0" borderId="61" xfId="0" applyNumberFormat="1" applyFont="1" applyBorder="1" applyAlignment="1">
      <alignment horizontal="center" vertical="center"/>
    </xf>
    <xf numFmtId="38" fontId="42" fillId="0" borderId="1" xfId="0" applyNumberFormat="1" applyFont="1" applyBorder="1" applyAlignment="1">
      <alignment horizontal="center" vertical="center"/>
    </xf>
    <xf numFmtId="38" fontId="46" fillId="0" borderId="85" xfId="0" applyNumberFormat="1" applyFont="1" applyBorder="1" applyAlignment="1">
      <alignment horizontal="center" vertical="center"/>
    </xf>
    <xf numFmtId="38" fontId="46" fillId="0" borderId="86" xfId="0" applyNumberFormat="1" applyFont="1" applyBorder="1" applyAlignment="1">
      <alignment horizontal="center" vertical="center"/>
    </xf>
    <xf numFmtId="38" fontId="2" fillId="0" borderId="7" xfId="78" applyNumberFormat="1" applyBorder="1" applyAlignment="1">
      <alignment horizontal="center" vertical="center"/>
    </xf>
    <xf numFmtId="38" fontId="96" fillId="0" borderId="29" xfId="0" applyNumberFormat="1" applyFont="1" applyBorder="1" applyAlignment="1">
      <alignment horizontal="center" vertical="center" wrapText="1"/>
    </xf>
    <xf numFmtId="0" fontId="0" fillId="0" borderId="16" xfId="0" applyBorder="1" applyAlignment="1">
      <alignment vertical="center"/>
    </xf>
    <xf numFmtId="0" fontId="18" fillId="4" borderId="0" xfId="0" applyFont="1" applyFill="1" applyAlignment="1" applyProtection="1">
      <alignment horizontal="left" vertical="top" wrapText="1" shrinkToFit="1" readingOrder="1"/>
      <protection locked="0"/>
    </xf>
    <xf numFmtId="0" fontId="51" fillId="0" borderId="0" xfId="0" applyFont="1" applyAlignment="1">
      <alignment horizontal="center" wrapText="1"/>
    </xf>
    <xf numFmtId="173" fontId="3" fillId="0" borderId="0" xfId="0" applyNumberFormat="1" applyFont="1" applyAlignment="1">
      <alignment horizontal="center" vertical="center" shrinkToFit="1"/>
    </xf>
    <xf numFmtId="6" fontId="102" fillId="0" borderId="26" xfId="0" applyNumberFormat="1" applyFont="1" applyBorder="1" applyAlignment="1" applyProtection="1">
      <alignment horizontal="center" vertical="center"/>
      <protection locked="0"/>
    </xf>
    <xf numFmtId="164" fontId="17" fillId="16" borderId="27" xfId="0" applyNumberFormat="1" applyFont="1" applyFill="1" applyBorder="1" applyAlignment="1">
      <alignment horizontal="center" vertical="center"/>
    </xf>
    <xf numFmtId="6" fontId="102" fillId="14" borderId="28" xfId="0" applyNumberFormat="1" applyFont="1" applyFill="1" applyBorder="1" applyAlignment="1">
      <alignment horizontal="center" vertical="center"/>
    </xf>
    <xf numFmtId="6" fontId="102" fillId="15" borderId="28" xfId="0" applyNumberFormat="1" applyFont="1" applyFill="1" applyBorder="1" applyAlignment="1">
      <alignment horizontal="center" vertical="center"/>
    </xf>
    <xf numFmtId="6" fontId="102" fillId="11" borderId="28" xfId="0" applyNumberFormat="1" applyFont="1" applyFill="1" applyBorder="1" applyAlignment="1">
      <alignment horizontal="center" vertical="center"/>
    </xf>
    <xf numFmtId="6" fontId="102" fillId="13" borderId="28" xfId="0" applyNumberFormat="1" applyFont="1" applyFill="1" applyBorder="1" applyAlignment="1">
      <alignment horizontal="center" vertical="center"/>
    </xf>
    <xf numFmtId="164" fontId="17" fillId="16" borderId="45" xfId="0" applyNumberFormat="1" applyFont="1" applyFill="1" applyBorder="1" applyAlignment="1">
      <alignment horizontal="center" vertical="center"/>
    </xf>
    <xf numFmtId="6" fontId="102" fillId="0" borderId="52" xfId="0" applyNumberFormat="1" applyFont="1" applyBorder="1" applyAlignment="1" applyProtection="1">
      <alignment horizontal="center" vertical="center"/>
      <protection locked="0"/>
    </xf>
    <xf numFmtId="6" fontId="102" fillId="14" borderId="53" xfId="0" applyNumberFormat="1" applyFont="1" applyFill="1" applyBorder="1" applyAlignment="1">
      <alignment horizontal="center" vertical="center"/>
    </xf>
    <xf numFmtId="6" fontId="102" fillId="15" borderId="53" xfId="0" applyNumberFormat="1" applyFont="1" applyFill="1" applyBorder="1" applyAlignment="1">
      <alignment horizontal="center" vertical="center"/>
    </xf>
    <xf numFmtId="6" fontId="102" fillId="11" borderId="53" xfId="0" applyNumberFormat="1" applyFont="1" applyFill="1" applyBorder="1" applyAlignment="1">
      <alignment horizontal="center" vertical="center"/>
    </xf>
    <xf numFmtId="6" fontId="102" fillId="13" borderId="53" xfId="0" applyNumberFormat="1" applyFont="1" applyFill="1" applyBorder="1" applyAlignment="1">
      <alignment horizontal="center" vertical="center"/>
    </xf>
    <xf numFmtId="6" fontId="102" fillId="14" borderId="6" xfId="0" applyNumberFormat="1" applyFont="1" applyFill="1" applyBorder="1" applyAlignment="1">
      <alignment horizontal="center" vertical="center"/>
    </xf>
    <xf numFmtId="6" fontId="112" fillId="0" borderId="67" xfId="0" applyNumberFormat="1" applyFont="1" applyBorder="1" applyAlignment="1">
      <alignment horizontal="center" vertical="center"/>
    </xf>
    <xf numFmtId="49" fontId="116" fillId="0" borderId="39" xfId="0" quotePrefix="1" applyNumberFormat="1" applyFont="1" applyBorder="1" applyAlignment="1">
      <alignment horizontal="center" vertical="center"/>
    </xf>
    <xf numFmtId="49" fontId="116" fillId="0" borderId="68" xfId="0" quotePrefix="1" applyNumberFormat="1" applyFont="1" applyBorder="1" applyAlignment="1">
      <alignment horizontal="center" vertical="center"/>
    </xf>
    <xf numFmtId="38" fontId="82" fillId="0" borderId="0" xfId="0" applyNumberFormat="1" applyFont="1" applyAlignment="1">
      <alignment horizontal="center" vertical="center"/>
    </xf>
    <xf numFmtId="173" fontId="96" fillId="0" borderId="0" xfId="78" applyNumberFormat="1" applyFont="1" applyAlignment="1">
      <alignment horizontal="center" vertical="center"/>
    </xf>
    <xf numFmtId="0" fontId="103" fillId="0" borderId="0" xfId="0" applyFont="1" applyAlignment="1">
      <alignment horizontal="center"/>
    </xf>
    <xf numFmtId="0" fontId="103" fillId="0" borderId="0" xfId="0" applyFont="1" applyAlignment="1">
      <alignment horizontal="center" vertical="center"/>
    </xf>
    <xf numFmtId="0" fontId="2" fillId="0" borderId="46" xfId="0" applyFont="1" applyBorder="1" applyAlignment="1">
      <alignment vertical="center"/>
    </xf>
    <xf numFmtId="0" fontId="2" fillId="0" borderId="27" xfId="0" applyFont="1" applyBorder="1" applyAlignment="1">
      <alignment vertical="center"/>
    </xf>
    <xf numFmtId="6" fontId="46" fillId="12" borderId="1" xfId="0" applyNumberFormat="1" applyFont="1" applyFill="1" applyBorder="1" applyAlignment="1" applyProtection="1">
      <alignment horizontal="right" vertical="center" shrinkToFit="1"/>
      <protection locked="0"/>
    </xf>
    <xf numFmtId="0" fontId="2" fillId="0" borderId="5" xfId="0" applyFont="1" applyBorder="1" applyAlignment="1">
      <alignment vertical="center"/>
    </xf>
    <xf numFmtId="0" fontId="101" fillId="0" borderId="0" xfId="0" applyFont="1" applyAlignment="1">
      <alignment horizontal="center"/>
    </xf>
    <xf numFmtId="38" fontId="101" fillId="0" borderId="0" xfId="0" applyNumberFormat="1" applyFont="1" applyAlignment="1">
      <alignment horizontal="center" vertical="center"/>
    </xf>
    <xf numFmtId="6" fontId="101" fillId="0" borderId="0" xfId="0" applyNumberFormat="1" applyFont="1"/>
    <xf numFmtId="6" fontId="19" fillId="0" borderId="0" xfId="0" applyNumberFormat="1" applyFont="1"/>
    <xf numFmtId="0" fontId="31" fillId="2" borderId="0" xfId="78" applyFont="1" applyFill="1" applyAlignment="1">
      <alignment vertical="center"/>
    </xf>
    <xf numFmtId="38" fontId="111" fillId="12" borderId="8" xfId="0" applyNumberFormat="1" applyFont="1" applyFill="1" applyBorder="1" applyAlignment="1" applyProtection="1">
      <alignment horizontal="center" vertical="center"/>
      <protection locked="0"/>
    </xf>
    <xf numFmtId="38" fontId="111" fillId="12" borderId="2" xfId="0" applyNumberFormat="1" applyFont="1" applyFill="1" applyBorder="1" applyAlignment="1" applyProtection="1">
      <alignment horizontal="center" vertical="center"/>
      <protection locked="0"/>
    </xf>
    <xf numFmtId="164" fontId="102" fillId="16" borderId="60" xfId="0" applyNumberFormat="1" applyFont="1" applyFill="1" applyBorder="1" applyAlignment="1">
      <alignment horizontal="center" vertical="center"/>
    </xf>
    <xf numFmtId="6" fontId="102" fillId="13" borderId="32" xfId="0" applyNumberFormat="1" applyFont="1" applyFill="1" applyBorder="1" applyAlignment="1">
      <alignment horizontal="center" vertical="center"/>
    </xf>
    <xf numFmtId="6" fontId="102" fillId="11" borderId="32" xfId="0" applyNumberFormat="1" applyFont="1" applyFill="1" applyBorder="1" applyAlignment="1">
      <alignment horizontal="center" vertical="center"/>
    </xf>
    <xf numFmtId="6" fontId="102" fillId="15" borderId="32" xfId="0" applyNumberFormat="1" applyFont="1" applyFill="1" applyBorder="1" applyAlignment="1">
      <alignment horizontal="center" vertical="center"/>
    </xf>
    <xf numFmtId="0" fontId="111" fillId="13" borderId="29" xfId="0" applyFont="1" applyFill="1" applyBorder="1" applyAlignment="1">
      <alignment horizontal="right" vertical="center" wrapText="1"/>
    </xf>
    <xf numFmtId="38" fontId="111" fillId="13" borderId="71" xfId="0" applyNumberFormat="1" applyFont="1" applyFill="1" applyBorder="1" applyAlignment="1">
      <alignment horizontal="center" vertical="center" wrapText="1"/>
    </xf>
    <xf numFmtId="0" fontId="111" fillId="11" borderId="29" xfId="0" applyFont="1" applyFill="1" applyBorder="1" applyAlignment="1">
      <alignment horizontal="right" vertical="center" wrapText="1"/>
    </xf>
    <xf numFmtId="38" fontId="111" fillId="11" borderId="71" xfId="0" applyNumberFormat="1" applyFont="1" applyFill="1" applyBorder="1" applyAlignment="1">
      <alignment horizontal="center" vertical="center" wrapText="1"/>
    </xf>
    <xf numFmtId="0" fontId="111" fillId="14" borderId="29" xfId="0" applyFont="1" applyFill="1" applyBorder="1" applyAlignment="1">
      <alignment horizontal="right" vertical="center" wrapText="1"/>
    </xf>
    <xf numFmtId="38" fontId="111" fillId="14" borderId="71" xfId="0" applyNumberFormat="1" applyFont="1" applyFill="1" applyBorder="1" applyAlignment="1">
      <alignment horizontal="center" vertical="center" wrapText="1"/>
    </xf>
    <xf numFmtId="0" fontId="111" fillId="15" borderId="29" xfId="0" applyFont="1" applyFill="1" applyBorder="1" applyAlignment="1">
      <alignment horizontal="right" vertical="center" wrapText="1"/>
    </xf>
    <xf numFmtId="38" fontId="111" fillId="15" borderId="71" xfId="0" applyNumberFormat="1" applyFont="1" applyFill="1" applyBorder="1" applyAlignment="1">
      <alignment horizontal="center" vertical="center" wrapText="1"/>
    </xf>
    <xf numFmtId="0" fontId="111" fillId="16" borderId="29" xfId="0" applyFont="1" applyFill="1" applyBorder="1" applyAlignment="1">
      <alignment horizontal="right" vertical="center" wrapText="1"/>
    </xf>
    <xf numFmtId="38" fontId="111" fillId="16" borderId="76" xfId="0" applyNumberFormat="1" applyFont="1" applyFill="1" applyBorder="1" applyAlignment="1">
      <alignment horizontal="center" vertical="center" wrapText="1"/>
    </xf>
    <xf numFmtId="3" fontId="0" fillId="0" borderId="0" xfId="0" applyNumberFormat="1" applyAlignment="1">
      <alignment horizontal="center" vertical="center"/>
    </xf>
    <xf numFmtId="0" fontId="2" fillId="0" borderId="9" xfId="0" applyFont="1" applyBorder="1"/>
    <xf numFmtId="178" fontId="0" fillId="0" borderId="28" xfId="0" applyNumberFormat="1" applyBorder="1" applyAlignment="1">
      <alignment horizontal="center" vertical="center" shrinkToFit="1"/>
    </xf>
    <xf numFmtId="5" fontId="20" fillId="0" borderId="27" xfId="1" applyNumberFormat="1" applyFont="1" applyBorder="1" applyAlignment="1">
      <alignment horizontal="center" vertical="center" shrinkToFit="1"/>
    </xf>
    <xf numFmtId="5" fontId="20" fillId="0" borderId="28" xfId="1" applyNumberFormat="1" applyFont="1" applyBorder="1" applyAlignment="1">
      <alignment horizontal="center" vertical="center" shrinkToFit="1"/>
    </xf>
    <xf numFmtId="38" fontId="96" fillId="0" borderId="21" xfId="0" applyNumberFormat="1" applyFont="1" applyBorder="1" applyAlignment="1">
      <alignment horizontal="center" vertical="center" wrapText="1"/>
    </xf>
    <xf numFmtId="6" fontId="42" fillId="0" borderId="79" xfId="78" applyNumberFormat="1" applyFont="1" applyBorder="1" applyAlignment="1">
      <alignment horizontal="center" vertical="center"/>
    </xf>
    <xf numFmtId="6" fontId="42" fillId="0" borderId="53" xfId="78" applyNumberFormat="1" applyFont="1" applyBorder="1" applyAlignment="1">
      <alignment horizontal="center" vertical="center"/>
    </xf>
    <xf numFmtId="38" fontId="2" fillId="0" borderId="28" xfId="78" applyNumberFormat="1" applyBorder="1" applyAlignment="1">
      <alignment horizontal="center" vertical="center"/>
    </xf>
    <xf numFmtId="38" fontId="2" fillId="0" borderId="53" xfId="78" applyNumberFormat="1" applyBorder="1" applyAlignment="1">
      <alignment horizontal="center" vertical="center"/>
    </xf>
    <xf numFmtId="38" fontId="2" fillId="12" borderId="79" xfId="78" applyNumberFormat="1" applyFill="1" applyBorder="1" applyAlignment="1" applyProtection="1">
      <alignment horizontal="center" vertical="center"/>
      <protection locked="0"/>
    </xf>
    <xf numFmtId="164" fontId="18" fillId="0" borderId="0" xfId="38" applyNumberFormat="1" applyFont="1" applyAlignment="1">
      <alignment horizontal="center" vertical="center"/>
    </xf>
    <xf numFmtId="6" fontId="117" fillId="0" borderId="26" xfId="0" applyNumberFormat="1" applyFont="1" applyBorder="1" applyAlignment="1" applyProtection="1">
      <alignment horizontal="center" vertical="center"/>
      <protection locked="0"/>
    </xf>
    <xf numFmtId="6" fontId="117" fillId="0" borderId="52" xfId="0" applyNumberFormat="1" applyFont="1" applyBorder="1" applyAlignment="1" applyProtection="1">
      <alignment horizontal="center" vertical="center"/>
      <protection locked="0"/>
    </xf>
    <xf numFmtId="38" fontId="97" fillId="16" borderId="76" xfId="0" applyNumberFormat="1" applyFont="1" applyFill="1" applyBorder="1" applyAlignment="1">
      <alignment horizontal="center" vertical="center" wrapText="1"/>
    </xf>
    <xf numFmtId="38" fontId="97" fillId="14" borderId="71" xfId="0" applyNumberFormat="1" applyFont="1" applyFill="1" applyBorder="1" applyAlignment="1">
      <alignment horizontal="center" vertical="center" wrapText="1"/>
    </xf>
    <xf numFmtId="38" fontId="97" fillId="15" borderId="71" xfId="0" applyNumberFormat="1" applyFont="1" applyFill="1" applyBorder="1" applyAlignment="1">
      <alignment horizontal="center" vertical="center" wrapText="1"/>
    </xf>
    <xf numFmtId="38" fontId="97" fillId="11" borderId="71" xfId="0" applyNumberFormat="1" applyFont="1" applyFill="1" applyBorder="1" applyAlignment="1">
      <alignment horizontal="center" vertical="center" wrapText="1"/>
    </xf>
    <xf numFmtId="38" fontId="97" fillId="13" borderId="71" xfId="0" applyNumberFormat="1" applyFont="1" applyFill="1" applyBorder="1" applyAlignment="1">
      <alignment horizontal="center" vertical="center" wrapText="1"/>
    </xf>
    <xf numFmtId="0" fontId="0" fillId="0" borderId="10" xfId="0" applyBorder="1" applyAlignment="1">
      <alignment horizontal="center" vertical="center"/>
    </xf>
    <xf numFmtId="6" fontId="102" fillId="14" borderId="12" xfId="0" applyNumberFormat="1" applyFont="1" applyFill="1" applyBorder="1" applyAlignment="1">
      <alignment horizontal="center" vertical="center"/>
    </xf>
    <xf numFmtId="0" fontId="64" fillId="0" borderId="0" xfId="0" applyFont="1" applyAlignment="1">
      <alignment vertical="center"/>
    </xf>
    <xf numFmtId="49" fontId="97" fillId="0" borderId="25" xfId="0" quotePrefix="1" applyNumberFormat="1" applyFont="1" applyBorder="1" applyAlignment="1">
      <alignment horizontal="center" vertical="center"/>
    </xf>
    <xf numFmtId="49" fontId="97" fillId="0" borderId="70" xfId="0" quotePrefix="1" applyNumberFormat="1" applyFont="1" applyBorder="1" applyAlignment="1">
      <alignment horizontal="center" vertical="center"/>
    </xf>
    <xf numFmtId="0" fontId="31" fillId="2" borderId="35" xfId="0" applyFont="1" applyFill="1" applyBorder="1" applyAlignment="1">
      <alignment vertical="center"/>
    </xf>
    <xf numFmtId="0" fontId="36" fillId="2" borderId="106" xfId="0" applyFont="1" applyFill="1" applyBorder="1" applyAlignment="1">
      <alignment vertical="center"/>
    </xf>
    <xf numFmtId="0" fontId="81" fillId="2" borderId="35" xfId="0" applyFont="1" applyFill="1" applyBorder="1" applyAlignment="1">
      <alignment horizontal="center" vertical="center" wrapText="1"/>
    </xf>
    <xf numFmtId="0" fontId="31" fillId="2" borderId="75" xfId="0" applyFont="1" applyFill="1" applyBorder="1" applyAlignment="1">
      <alignment horizontal="center" vertical="center" wrapText="1"/>
    </xf>
    <xf numFmtId="0" fontId="31" fillId="2" borderId="43" xfId="0" applyFont="1" applyFill="1" applyBorder="1" applyAlignment="1">
      <alignment horizontal="center" vertical="center" wrapText="1"/>
    </xf>
    <xf numFmtId="37" fontId="46" fillId="0" borderId="117" xfId="0" applyNumberFormat="1" applyFont="1" applyBorder="1" applyAlignment="1">
      <alignment horizontal="left" vertical="center"/>
    </xf>
    <xf numFmtId="0" fontId="18" fillId="0" borderId="117" xfId="0" applyFont="1" applyBorder="1" applyAlignment="1">
      <alignment horizontal="right"/>
    </xf>
    <xf numFmtId="9" fontId="18" fillId="0" borderId="117" xfId="0" applyNumberFormat="1" applyFont="1" applyBorder="1" applyAlignment="1">
      <alignment horizontal="right"/>
    </xf>
    <xf numFmtId="0" fontId="46" fillId="0" borderId="117" xfId="0" applyFont="1" applyBorder="1" applyAlignment="1">
      <alignment vertical="center"/>
    </xf>
    <xf numFmtId="0" fontId="31" fillId="2" borderId="117" xfId="0" applyFont="1" applyFill="1" applyBorder="1" applyAlignment="1">
      <alignment vertical="center"/>
    </xf>
    <xf numFmtId="38" fontId="46" fillId="2" borderId="117" xfId="0" applyNumberFormat="1" applyFont="1" applyFill="1" applyBorder="1" applyAlignment="1">
      <alignment horizontal="center" vertical="center"/>
    </xf>
    <xf numFmtId="38" fontId="42" fillId="0" borderId="117" xfId="0" applyNumberFormat="1" applyFont="1" applyBorder="1" applyAlignment="1">
      <alignment horizontal="center" vertical="center"/>
    </xf>
    <xf numFmtId="0" fontId="43" fillId="0" borderId="117" xfId="0" applyFont="1" applyBorder="1" applyAlignment="1">
      <alignment vertical="center"/>
    </xf>
    <xf numFmtId="38" fontId="46" fillId="0" borderId="117" xfId="0" applyNumberFormat="1" applyFont="1" applyBorder="1" applyAlignment="1">
      <alignment horizontal="center" vertical="center"/>
    </xf>
    <xf numFmtId="0" fontId="0" fillId="2" borderId="117" xfId="0" applyFill="1" applyBorder="1" applyAlignment="1">
      <alignment horizontal="center" vertical="center"/>
    </xf>
    <xf numFmtId="38" fontId="3" fillId="0" borderId="117" xfId="0" applyNumberFormat="1" applyFont="1" applyBorder="1" applyAlignment="1">
      <alignment horizontal="center" vertical="center"/>
    </xf>
    <xf numFmtId="38" fontId="19" fillId="0" borderId="117" xfId="0" applyNumberFormat="1" applyFont="1" applyBorder="1" applyAlignment="1">
      <alignment horizontal="center" vertical="center"/>
    </xf>
    <xf numFmtId="0" fontId="0" fillId="0" borderId="117" xfId="0" applyBorder="1" applyAlignment="1">
      <alignment vertical="center"/>
    </xf>
    <xf numFmtId="0" fontId="46" fillId="2" borderId="117" xfId="0" applyFont="1" applyFill="1" applyBorder="1" applyAlignment="1">
      <alignment horizontal="center" vertical="center"/>
    </xf>
    <xf numFmtId="0" fontId="31" fillId="2" borderId="117" xfId="78" applyFont="1" applyFill="1" applyBorder="1" applyAlignment="1">
      <alignment vertical="center"/>
    </xf>
    <xf numFmtId="38" fontId="18" fillId="2" borderId="117" xfId="0" applyNumberFormat="1" applyFont="1" applyFill="1" applyBorder="1" applyAlignment="1">
      <alignment horizontal="right"/>
    </xf>
    <xf numFmtId="0" fontId="31" fillId="2" borderId="44" xfId="0" applyFont="1" applyFill="1" applyBorder="1" applyAlignment="1">
      <alignment horizontal="center" vertical="center" wrapText="1"/>
    </xf>
    <xf numFmtId="38" fontId="20" fillId="4" borderId="4" xfId="0" applyNumberFormat="1" applyFont="1" applyFill="1" applyBorder="1" applyAlignment="1" applyProtection="1">
      <alignment horizontal="center" vertical="center"/>
      <protection locked="0"/>
    </xf>
    <xf numFmtId="38" fontId="42" fillId="0" borderId="4" xfId="0" applyNumberFormat="1" applyFont="1" applyBorder="1" applyAlignment="1">
      <alignment horizontal="center" vertical="center"/>
    </xf>
    <xf numFmtId="38" fontId="46" fillId="2" borderId="4" xfId="0" applyNumberFormat="1" applyFont="1" applyFill="1" applyBorder="1" applyAlignment="1">
      <alignment horizontal="center" vertical="center"/>
    </xf>
    <xf numFmtId="38" fontId="3" fillId="0" borderId="4" xfId="0" applyNumberFormat="1" applyFont="1" applyBorder="1" applyAlignment="1">
      <alignment horizontal="center" vertical="center"/>
    </xf>
    <xf numFmtId="0" fontId="0" fillId="2" borderId="4" xfId="0" applyFill="1" applyBorder="1" applyAlignment="1">
      <alignment horizontal="center" vertical="center"/>
    </xf>
    <xf numFmtId="173" fontId="3" fillId="12" borderId="4" xfId="0" applyNumberFormat="1" applyFont="1" applyFill="1" applyBorder="1" applyAlignment="1" applyProtection="1">
      <alignment horizontal="center" vertical="center"/>
      <protection locked="0"/>
    </xf>
    <xf numFmtId="38" fontId="19" fillId="0" borderId="4" xfId="0" applyNumberFormat="1" applyFont="1" applyBorder="1" applyAlignment="1">
      <alignment horizontal="center" vertical="center"/>
    </xf>
    <xf numFmtId="0" fontId="46" fillId="2" borderId="4" xfId="0" applyFont="1" applyFill="1" applyBorder="1" applyAlignment="1">
      <alignment horizontal="center" vertical="center"/>
    </xf>
    <xf numFmtId="38" fontId="19" fillId="0" borderId="8" xfId="0" applyNumberFormat="1" applyFont="1" applyBorder="1" applyAlignment="1">
      <alignment horizontal="center" vertical="center"/>
    </xf>
    <xf numFmtId="38" fontId="42" fillId="0" borderId="2" xfId="0" applyNumberFormat="1" applyFont="1" applyBorder="1" applyAlignment="1">
      <alignment horizontal="center" vertical="center"/>
    </xf>
    <xf numFmtId="0" fontId="18" fillId="2" borderId="4" xfId="0" applyFont="1" applyFill="1" applyBorder="1" applyAlignment="1">
      <alignment horizontal="right"/>
    </xf>
    <xf numFmtId="38" fontId="117" fillId="12" borderId="8" xfId="0" applyNumberFormat="1" applyFont="1" applyFill="1" applyBorder="1" applyAlignment="1" applyProtection="1">
      <alignment horizontal="center" vertical="center"/>
      <protection locked="0"/>
    </xf>
    <xf numFmtId="38" fontId="117" fillId="12" borderId="2" xfId="0" applyNumberFormat="1" applyFont="1" applyFill="1" applyBorder="1" applyAlignment="1" applyProtection="1">
      <alignment horizontal="center" vertical="center"/>
      <protection locked="0"/>
    </xf>
    <xf numFmtId="6" fontId="42" fillId="0" borderId="48" xfId="78" applyNumberFormat="1" applyFont="1" applyBorder="1" applyAlignment="1">
      <alignment horizontal="center" vertical="center"/>
    </xf>
    <xf numFmtId="6" fontId="42" fillId="0" borderId="49" xfId="78" applyNumberFormat="1" applyFont="1" applyBorder="1" applyAlignment="1">
      <alignment horizontal="center" vertical="center"/>
    </xf>
    <xf numFmtId="6" fontId="19" fillId="0" borderId="60" xfId="78" applyNumberFormat="1" applyFont="1" applyBorder="1" applyAlignment="1">
      <alignment horizontal="center" vertical="center"/>
    </xf>
    <xf numFmtId="0" fontId="96" fillId="0" borderId="0" xfId="0" applyFont="1"/>
    <xf numFmtId="0" fontId="19" fillId="0" borderId="0" xfId="0" applyFont="1" applyAlignment="1">
      <alignment horizontal="center"/>
    </xf>
    <xf numFmtId="0" fontId="16" fillId="0" borderId="0" xfId="81" applyFont="1" applyBorder="1" applyAlignment="1">
      <alignment horizontal="center" wrapText="1"/>
    </xf>
    <xf numFmtId="0" fontId="18" fillId="0" borderId="0" xfId="81" applyFont="1" applyBorder="1" applyAlignment="1">
      <alignment vertical="top" wrapText="1"/>
    </xf>
    <xf numFmtId="0" fontId="16" fillId="0" borderId="0" xfId="81" applyFont="1" applyBorder="1" applyAlignment="1">
      <alignment vertical="top" wrapText="1"/>
    </xf>
    <xf numFmtId="0" fontId="121" fillId="0" borderId="0" xfId="81" applyFont="1" applyBorder="1" applyAlignment="1">
      <alignment vertical="top" wrapText="1"/>
    </xf>
    <xf numFmtId="0" fontId="0" fillId="0" borderId="21" xfId="0" applyBorder="1"/>
    <xf numFmtId="0" fontId="2" fillId="0" borderId="0" xfId="0" applyFont="1" applyAlignment="1">
      <alignment horizontal="center"/>
    </xf>
    <xf numFmtId="3" fontId="2" fillId="0" borderId="0" xfId="0" applyNumberFormat="1" applyFont="1" applyAlignment="1">
      <alignment horizontal="left" vertical="top" wrapText="1"/>
    </xf>
    <xf numFmtId="0" fontId="2" fillId="0" borderId="0" xfId="0" applyFont="1" applyProtection="1">
      <protection locked="0"/>
    </xf>
    <xf numFmtId="9" fontId="2" fillId="0" borderId="0" xfId="0" applyNumberFormat="1" applyFont="1"/>
    <xf numFmtId="6" fontId="2" fillId="0" borderId="0" xfId="0" applyNumberFormat="1" applyFont="1"/>
    <xf numFmtId="0" fontId="19" fillId="0" borderId="29" xfId="0" applyFont="1" applyBorder="1" applyAlignment="1">
      <alignment vertical="center" wrapText="1"/>
    </xf>
    <xf numFmtId="0" fontId="98" fillId="17" borderId="11" xfId="81" applyFont="1" applyFill="1" applyBorder="1" applyAlignment="1">
      <alignment horizontal="right" vertical="center" wrapText="1"/>
    </xf>
    <xf numFmtId="0" fontId="98" fillId="0" borderId="0" xfId="81" applyFont="1" applyAlignment="1">
      <alignment horizontal="center" vertical="center" wrapText="1"/>
    </xf>
    <xf numFmtId="0" fontId="118" fillId="0" borderId="0" xfId="81" applyFont="1"/>
    <xf numFmtId="0" fontId="117" fillId="17" borderId="47" xfId="81" applyFont="1" applyFill="1" applyBorder="1" applyAlignment="1">
      <alignment horizontal="right" vertical="center" wrapText="1"/>
    </xf>
    <xf numFmtId="0" fontId="102" fillId="24" borderId="47" xfId="81" applyFont="1" applyFill="1" applyBorder="1" applyAlignment="1" applyProtection="1">
      <alignment horizontal="center" vertical="center" wrapText="1"/>
      <protection locked="0"/>
    </xf>
    <xf numFmtId="0" fontId="102" fillId="24" borderId="53" xfId="81" applyFont="1" applyFill="1" applyBorder="1" applyAlignment="1" applyProtection="1">
      <alignment horizontal="center" vertical="center" wrapText="1"/>
      <protection locked="0"/>
    </xf>
    <xf numFmtId="0" fontId="118" fillId="0" borderId="0" xfId="81" applyFont="1" applyAlignment="1">
      <alignment wrapText="1"/>
    </xf>
    <xf numFmtId="0" fontId="129" fillId="17" borderId="17" xfId="81" applyFont="1" applyFill="1" applyBorder="1" applyAlignment="1">
      <alignment vertical="center" wrapText="1"/>
    </xf>
    <xf numFmtId="0" fontId="129" fillId="17" borderId="30" xfId="81" applyFont="1" applyFill="1" applyBorder="1" applyAlignment="1">
      <alignment vertical="center" wrapText="1"/>
    </xf>
    <xf numFmtId="0" fontId="128" fillId="17" borderId="0" xfId="81" applyFont="1" applyFill="1" applyAlignment="1">
      <alignment horizontal="left" vertical="center"/>
    </xf>
    <xf numFmtId="0" fontId="97" fillId="0" borderId="9" xfId="82" quotePrefix="1" applyFont="1" applyBorder="1" applyAlignment="1">
      <alignment horizontal="center" vertical="center"/>
    </xf>
    <xf numFmtId="0" fontId="2" fillId="0" borderId="0" xfId="81" applyAlignment="1" applyProtection="1">
      <alignment vertical="center"/>
      <protection locked="0"/>
    </xf>
    <xf numFmtId="0" fontId="2" fillId="0" borderId="0" xfId="81" applyAlignment="1">
      <alignment vertical="center"/>
    </xf>
    <xf numFmtId="164" fontId="2" fillId="0" borderId="37" xfId="81" applyNumberFormat="1" applyBorder="1" applyAlignment="1">
      <alignment horizontal="center" vertical="center"/>
    </xf>
    <xf numFmtId="164" fontId="18" fillId="0" borderId="0" xfId="81" applyNumberFormat="1" applyFont="1" applyAlignment="1">
      <alignment horizontal="center" vertical="center"/>
    </xf>
    <xf numFmtId="0" fontId="111" fillId="14" borderId="118" xfId="81" applyFont="1" applyFill="1" applyBorder="1" applyAlignment="1">
      <alignment horizontal="center" vertical="center" wrapText="1"/>
    </xf>
    <xf numFmtId="0" fontId="111" fillId="25" borderId="118" xfId="81" applyFont="1" applyFill="1" applyBorder="1" applyAlignment="1">
      <alignment horizontal="center" vertical="center" wrapText="1"/>
    </xf>
    <xf numFmtId="0" fontId="2" fillId="0" borderId="0" xfId="81" applyAlignment="1">
      <alignment horizontal="center" vertical="center"/>
    </xf>
    <xf numFmtId="164" fontId="2" fillId="0" borderId="25" xfId="81" applyNumberFormat="1" applyBorder="1" applyAlignment="1">
      <alignment horizontal="center" vertical="center"/>
    </xf>
    <xf numFmtId="164" fontId="18" fillId="26" borderId="118" xfId="81" applyNumberFormat="1" applyFont="1" applyFill="1" applyBorder="1" applyAlignment="1">
      <alignment horizontal="center" vertical="center" wrapText="1"/>
    </xf>
    <xf numFmtId="0" fontId="98" fillId="26" borderId="118" xfId="81" applyFont="1" applyFill="1" applyBorder="1" applyAlignment="1">
      <alignment horizontal="center" vertical="center" wrapText="1"/>
    </xf>
    <xf numFmtId="0" fontId="18" fillId="26" borderId="118" xfId="81" applyFont="1" applyFill="1" applyBorder="1" applyAlignment="1">
      <alignment horizontal="center" vertical="center" wrapText="1"/>
    </xf>
    <xf numFmtId="0" fontId="18" fillId="26" borderId="8" xfId="81" applyFont="1" applyFill="1" applyBorder="1" applyAlignment="1">
      <alignment horizontal="center" vertical="center" wrapText="1"/>
    </xf>
    <xf numFmtId="164" fontId="97" fillId="0" borderId="25" xfId="82" applyNumberFormat="1" applyFont="1" applyBorder="1" applyAlignment="1" applyProtection="1">
      <alignment horizontal="center" vertical="center"/>
      <protection locked="0"/>
    </xf>
    <xf numFmtId="164" fontId="111" fillId="0" borderId="0" xfId="82" applyNumberFormat="1" applyFont="1" applyAlignment="1" applyProtection="1">
      <alignment horizontal="center" vertical="center"/>
      <protection locked="0"/>
    </xf>
    <xf numFmtId="164" fontId="2" fillId="0" borderId="6" xfId="81" applyNumberFormat="1" applyBorder="1" applyAlignment="1">
      <alignment horizontal="center" vertical="center"/>
    </xf>
    <xf numFmtId="0" fontId="118" fillId="0" borderId="34" xfId="81" applyFont="1" applyBorder="1"/>
    <xf numFmtId="0" fontId="18" fillId="0" borderId="0" xfId="81" quotePrefix="1" applyFont="1" applyAlignment="1">
      <alignment horizontal="left" vertical="center"/>
    </xf>
    <xf numFmtId="0" fontId="2" fillId="0" borderId="0" xfId="81"/>
    <xf numFmtId="0" fontId="97" fillId="0" borderId="120" xfId="82" quotePrefix="1" applyFont="1" applyBorder="1" applyAlignment="1">
      <alignment horizontal="center" vertical="center"/>
    </xf>
    <xf numFmtId="0" fontId="118" fillId="0" borderId="90" xfId="81" applyFont="1" applyBorder="1"/>
    <xf numFmtId="0" fontId="18" fillId="0" borderId="0" xfId="81" applyFont="1" applyAlignment="1">
      <alignment horizontal="right" vertical="center"/>
    </xf>
    <xf numFmtId="0" fontId="18" fillId="0" borderId="0" xfId="81" applyFont="1" applyAlignment="1">
      <alignment horizontal="right" vertical="center" wrapText="1"/>
    </xf>
    <xf numFmtId="0" fontId="133" fillId="17" borderId="0" xfId="81" applyFont="1" applyFill="1" applyAlignment="1">
      <alignment horizontal="center" wrapText="1"/>
    </xf>
    <xf numFmtId="0" fontId="98" fillId="0" borderId="0" xfId="81" applyFont="1" applyAlignment="1">
      <alignment horizontal="center" wrapText="1"/>
    </xf>
    <xf numFmtId="0" fontId="132" fillId="0" borderId="0" xfId="81" applyFont="1" applyAlignment="1">
      <alignment horizontal="center" vertical="center"/>
    </xf>
    <xf numFmtId="0" fontId="118" fillId="0" borderId="10" xfId="81" applyFont="1" applyBorder="1"/>
    <xf numFmtId="0" fontId="97" fillId="0" borderId="19" xfId="82" quotePrefix="1" applyFont="1" applyBorder="1" applyAlignment="1">
      <alignment horizontal="center" vertical="center"/>
    </xf>
    <xf numFmtId="0" fontId="19" fillId="0" borderId="12" xfId="81" quotePrefix="1" applyFont="1" applyBorder="1" applyAlignment="1">
      <alignment horizontal="left" vertical="center"/>
    </xf>
    <xf numFmtId="0" fontId="117" fillId="0" borderId="12" xfId="81" applyFont="1" applyBorder="1" applyAlignment="1">
      <alignment horizontal="left"/>
    </xf>
    <xf numFmtId="0" fontId="133" fillId="17" borderId="12" xfId="81" applyFont="1" applyFill="1" applyBorder="1" applyAlignment="1">
      <alignment vertical="center"/>
    </xf>
    <xf numFmtId="164" fontId="133" fillId="17" borderId="0" xfId="81" applyNumberFormat="1" applyFont="1" applyFill="1" applyAlignment="1">
      <alignment horizontal="center" vertical="center"/>
    </xf>
    <xf numFmtId="0" fontId="2" fillId="0" borderId="0" xfId="81" quotePrefix="1" applyAlignment="1">
      <alignment horizontal="left" vertical="center"/>
    </xf>
    <xf numFmtId="0" fontId="117" fillId="0" borderId="0" xfId="81" applyFont="1"/>
    <xf numFmtId="164" fontId="97" fillId="0" borderId="0" xfId="81" applyNumberFormat="1" applyFont="1" applyAlignment="1">
      <alignment horizontal="center" vertical="center"/>
    </xf>
    <xf numFmtId="164" fontId="2" fillId="0" borderId="0" xfId="81" applyNumberFormat="1" applyAlignment="1" applyProtection="1">
      <alignment horizontal="center" vertical="center"/>
      <protection locked="0"/>
    </xf>
    <xf numFmtId="0" fontId="118" fillId="0" borderId="21" xfId="81" applyFont="1" applyBorder="1"/>
    <xf numFmtId="164" fontId="18" fillId="0" borderId="0" xfId="81" applyNumberFormat="1" applyFont="1" applyAlignment="1">
      <alignment horizontal="left" vertical="center"/>
    </xf>
    <xf numFmtId="164" fontId="133" fillId="17" borderId="0" xfId="81" applyNumberFormat="1" applyFont="1" applyFill="1" applyAlignment="1">
      <alignment horizontal="center" vertical="center" wrapText="1"/>
    </xf>
    <xf numFmtId="0" fontId="128" fillId="17" borderId="10" xfId="81" applyFont="1" applyFill="1" applyBorder="1" applyAlignment="1">
      <alignment horizontal="left" vertical="center"/>
    </xf>
    <xf numFmtId="164" fontId="18" fillId="0" borderId="0" xfId="81" applyNumberFormat="1" applyFont="1" applyAlignment="1">
      <alignment horizontal="center" vertical="center" wrapText="1"/>
    </xf>
    <xf numFmtId="0" fontId="118" fillId="0" borderId="9" xfId="81" applyFont="1" applyBorder="1"/>
    <xf numFmtId="0" fontId="18" fillId="0" borderId="10" xfId="81" quotePrefix="1" applyFont="1" applyBorder="1" applyAlignment="1">
      <alignment horizontal="left" vertical="center"/>
    </xf>
    <xf numFmtId="0" fontId="134" fillId="17" borderId="0" xfId="81" applyFont="1" applyFill="1" applyAlignment="1">
      <alignment horizontal="left" vertical="center" wrapText="1"/>
    </xf>
    <xf numFmtId="9" fontId="98" fillId="26" borderId="118" xfId="81" applyNumberFormat="1" applyFont="1" applyFill="1" applyBorder="1" applyAlignment="1">
      <alignment horizontal="center" vertical="center" wrapText="1"/>
    </xf>
    <xf numFmtId="0" fontId="98" fillId="27" borderId="118" xfId="81" applyFont="1" applyFill="1" applyBorder="1" applyAlignment="1">
      <alignment horizontal="center" vertical="center" wrapText="1"/>
    </xf>
    <xf numFmtId="164" fontId="2" fillId="0" borderId="34" xfId="81" applyNumberFormat="1" applyBorder="1" applyAlignment="1">
      <alignment horizontal="center" vertical="center"/>
    </xf>
    <xf numFmtId="0" fontId="18" fillId="28" borderId="6" xfId="83" applyFont="1" applyFill="1" applyBorder="1" applyAlignment="1" applyProtection="1">
      <alignment horizontal="center" vertical="center" wrapText="1"/>
      <protection locked="0"/>
    </xf>
    <xf numFmtId="0" fontId="18" fillId="0" borderId="10" xfId="83" applyFont="1" applyBorder="1" applyAlignment="1">
      <alignment vertical="top" wrapText="1"/>
    </xf>
    <xf numFmtId="0" fontId="18" fillId="0" borderId="0" xfId="81" applyFont="1" applyAlignment="1">
      <alignment horizontal="center" vertical="center"/>
    </xf>
    <xf numFmtId="164" fontId="18" fillId="0" borderId="10" xfId="81" applyNumberFormat="1" applyFont="1" applyBorder="1" applyAlignment="1">
      <alignment vertical="center"/>
    </xf>
    <xf numFmtId="179" fontId="2" fillId="0" borderId="0" xfId="81" applyNumberFormat="1" applyAlignment="1">
      <alignment horizontal="center" vertical="center"/>
    </xf>
    <xf numFmtId="0" fontId="97" fillId="0" borderId="121" xfId="82" quotePrefix="1" applyFont="1" applyBorder="1" applyAlignment="1">
      <alignment horizontal="center" vertical="center"/>
    </xf>
    <xf numFmtId="0" fontId="19" fillId="0" borderId="122" xfId="81" applyFont="1" applyBorder="1" applyAlignment="1">
      <alignment horizontal="left" vertical="center"/>
    </xf>
    <xf numFmtId="0" fontId="2" fillId="0" borderId="122" xfId="81" applyBorder="1" applyAlignment="1">
      <alignment horizontal="left" vertical="center"/>
    </xf>
    <xf numFmtId="0" fontId="18" fillId="0" borderId="122" xfId="81" applyFont="1" applyBorder="1" applyAlignment="1">
      <alignment horizontal="right" vertical="center"/>
    </xf>
    <xf numFmtId="164" fontId="19" fillId="0" borderId="123" xfId="81" applyNumberFormat="1" applyFont="1" applyBorder="1" applyAlignment="1">
      <alignment horizontal="center" vertical="center"/>
    </xf>
    <xf numFmtId="164" fontId="16" fillId="0" borderId="0" xfId="81" applyNumberFormat="1" applyFont="1" applyAlignment="1">
      <alignment horizontal="center" vertical="center"/>
    </xf>
    <xf numFmtId="164" fontId="16" fillId="0" borderId="0" xfId="81" applyNumberFormat="1" applyFont="1" applyAlignment="1">
      <alignment horizontal="center" vertical="center" wrapText="1"/>
    </xf>
    <xf numFmtId="0" fontId="18" fillId="0" borderId="0" xfId="81" quotePrefix="1" applyFont="1" applyAlignment="1">
      <alignment horizontal="left" vertical="center" wrapText="1"/>
    </xf>
    <xf numFmtId="0" fontId="117" fillId="0" borderId="9" xfId="81" applyFont="1" applyBorder="1"/>
    <xf numFmtId="0" fontId="98" fillId="0" borderId="0" xfId="81" applyFont="1" applyAlignment="1">
      <alignment wrapText="1"/>
    </xf>
    <xf numFmtId="0" fontId="132" fillId="0" borderId="0" xfId="81" quotePrefix="1" applyFont="1" applyAlignment="1">
      <alignment horizontal="right" vertical="center"/>
    </xf>
    <xf numFmtId="164" fontId="132" fillId="0" borderId="0" xfId="81" applyNumberFormat="1" applyFont="1" applyAlignment="1">
      <alignment horizontal="left" vertical="center"/>
    </xf>
    <xf numFmtId="0" fontId="135" fillId="0" borderId="10" xfId="81" applyFont="1" applyBorder="1" applyAlignment="1">
      <alignment horizontal="left" vertical="center" wrapText="1"/>
    </xf>
    <xf numFmtId="0" fontId="118" fillId="0" borderId="12" xfId="81" applyFont="1" applyBorder="1"/>
    <xf numFmtId="0" fontId="136" fillId="0" borderId="12" xfId="81" quotePrefix="1" applyFont="1" applyBorder="1" applyAlignment="1">
      <alignment horizontal="right" vertical="center"/>
    </xf>
    <xf numFmtId="164" fontId="135" fillId="0" borderId="12" xfId="81" applyNumberFormat="1" applyFont="1" applyBorder="1" applyAlignment="1">
      <alignment horizontal="left" vertical="center"/>
    </xf>
    <xf numFmtId="0" fontId="118" fillId="0" borderId="13" xfId="81" applyFont="1" applyBorder="1"/>
    <xf numFmtId="164" fontId="18" fillId="0" borderId="0" xfId="81" applyNumberFormat="1" applyFont="1" applyAlignment="1">
      <alignment horizontal="left" vertical="center" wrapText="1"/>
    </xf>
    <xf numFmtId="165" fontId="117" fillId="0" borderId="0" xfId="84" applyNumberFormat="1" applyFont="1" applyAlignment="1">
      <alignment vertical="center"/>
    </xf>
    <xf numFmtId="165" fontId="117" fillId="0" borderId="6" xfId="84" applyNumberFormat="1" applyFont="1" applyBorder="1" applyAlignment="1">
      <alignment vertical="center"/>
    </xf>
    <xf numFmtId="0" fontId="0" fillId="0" borderId="0" xfId="81" applyFont="1"/>
    <xf numFmtId="0" fontId="1" fillId="0" borderId="0" xfId="85"/>
    <xf numFmtId="14" fontId="140" fillId="29" borderId="129" xfId="86" applyNumberFormat="1" applyFont="1" applyFill="1" applyBorder="1" applyAlignment="1">
      <alignment horizontal="center" vertical="center" wrapText="1"/>
    </xf>
    <xf numFmtId="0" fontId="140" fillId="29" borderId="130" xfId="86" applyFont="1" applyFill="1" applyBorder="1" applyAlignment="1">
      <alignment horizontal="left" vertical="center" wrapText="1"/>
    </xf>
    <xf numFmtId="0" fontId="140" fillId="29" borderId="130" xfId="86" applyFont="1" applyFill="1" applyBorder="1" applyAlignment="1">
      <alignment horizontal="center" vertical="center" wrapText="1"/>
    </xf>
    <xf numFmtId="0" fontId="1" fillId="0" borderId="131" xfId="85" applyBorder="1"/>
    <xf numFmtId="0" fontId="2" fillId="0" borderId="0" xfId="87"/>
    <xf numFmtId="0" fontId="140" fillId="30" borderId="132" xfId="86" applyFont="1" applyFill="1" applyBorder="1" applyAlignment="1">
      <alignment horizontal="left" vertical="top" wrapText="1"/>
    </xf>
    <xf numFmtId="180" fontId="42" fillId="30" borderId="130" xfId="86" applyNumberFormat="1" applyFont="1" applyFill="1" applyBorder="1" applyAlignment="1">
      <alignment horizontal="center" vertical="center" wrapText="1"/>
    </xf>
    <xf numFmtId="180" fontId="42" fillId="30" borderId="130" xfId="86" applyNumberFormat="1" applyFont="1" applyFill="1" applyBorder="1" applyAlignment="1">
      <alignment horizontal="center" vertical="top" wrapText="1"/>
    </xf>
    <xf numFmtId="0" fontId="122" fillId="0" borderId="0" xfId="85" applyFont="1"/>
    <xf numFmtId="0" fontId="140" fillId="29" borderId="132" xfId="86" applyFont="1" applyFill="1" applyBorder="1" applyAlignment="1">
      <alignment horizontal="left" vertical="top" wrapText="1"/>
    </xf>
    <xf numFmtId="180" fontId="42" fillId="29" borderId="130" xfId="86" applyNumberFormat="1" applyFont="1" applyFill="1" applyBorder="1" applyAlignment="1">
      <alignment horizontal="center" vertical="center" wrapText="1"/>
    </xf>
    <xf numFmtId="180" fontId="42" fillId="29" borderId="130" xfId="86" applyNumberFormat="1" applyFont="1" applyFill="1" applyBorder="1" applyAlignment="1">
      <alignment horizontal="center" vertical="top" wrapText="1"/>
    </xf>
    <xf numFmtId="0" fontId="1" fillId="0" borderId="0" xfId="89" applyFont="1" applyAlignment="1">
      <alignment horizontal="center" vertical="center"/>
    </xf>
    <xf numFmtId="0" fontId="1" fillId="0" borderId="0" xfId="89" applyAlignment="1">
      <alignment horizontal="center" vertical="center"/>
    </xf>
    <xf numFmtId="0" fontId="19" fillId="0" borderId="111" xfId="88" applyFont="1" applyBorder="1" applyAlignment="1">
      <alignment horizontal="center" vertical="top"/>
    </xf>
    <xf numFmtId="0" fontId="17" fillId="0" borderId="51" xfId="88" applyFont="1" applyBorder="1" applyAlignment="1">
      <alignment horizontal="center" vertical="top" wrapText="1"/>
    </xf>
    <xf numFmtId="0" fontId="19" fillId="0" borderId="116" xfId="88" applyFont="1" applyBorder="1" applyAlignment="1">
      <alignment horizontal="center" vertical="top"/>
    </xf>
    <xf numFmtId="0" fontId="19" fillId="0" borderId="116" xfId="88" applyFont="1" applyBorder="1" applyAlignment="1">
      <alignment horizontal="center"/>
    </xf>
    <xf numFmtId="0" fontId="1" fillId="0" borderId="0" xfId="85" applyAlignment="1">
      <alignment horizontal="left" vertical="top"/>
    </xf>
    <xf numFmtId="180" fontId="42" fillId="31" borderId="130" xfId="86" applyNumberFormat="1" applyFont="1" applyFill="1" applyBorder="1" applyAlignment="1">
      <alignment horizontal="center" vertical="center" wrapText="1"/>
    </xf>
    <xf numFmtId="180" fontId="42" fillId="31" borderId="130" xfId="86" applyNumberFormat="1" applyFont="1" applyFill="1" applyBorder="1" applyAlignment="1">
      <alignment horizontal="center" vertical="top" wrapText="1"/>
    </xf>
    <xf numFmtId="0" fontId="1" fillId="0" borderId="0" xfId="85" applyAlignment="1">
      <alignment horizontal="center" vertical="center"/>
    </xf>
    <xf numFmtId="0" fontId="97" fillId="0" borderId="116" xfId="85" applyFont="1" applyBorder="1" applyAlignment="1">
      <alignment horizontal="center" vertical="top"/>
    </xf>
    <xf numFmtId="0" fontId="145" fillId="0" borderId="0" xfId="86" applyFont="1" applyAlignment="1">
      <alignment vertical="top" wrapText="1"/>
    </xf>
    <xf numFmtId="0" fontId="128" fillId="17" borderId="17" xfId="81" applyFont="1" applyFill="1" applyBorder="1" applyAlignment="1">
      <alignment horizontal="left" vertical="center"/>
    </xf>
    <xf numFmtId="0" fontId="2" fillId="0" borderId="0" xfId="81" applyAlignment="1">
      <alignment horizontal="left" vertical="center"/>
    </xf>
    <xf numFmtId="164" fontId="18" fillId="27" borderId="119" xfId="81" applyNumberFormat="1" applyFont="1" applyFill="1" applyBorder="1" applyAlignment="1">
      <alignment horizontal="center" vertical="center" wrapText="1"/>
    </xf>
    <xf numFmtId="0" fontId="19" fillId="0" borderId="0" xfId="81" quotePrefix="1" applyFont="1" applyAlignment="1">
      <alignment horizontal="left" vertical="center"/>
    </xf>
    <xf numFmtId="0" fontId="128" fillId="0" borderId="0" xfId="81" quotePrefix="1" applyFont="1" applyAlignment="1">
      <alignment horizontal="left" vertical="center"/>
    </xf>
    <xf numFmtId="164" fontId="18" fillId="27" borderId="118" xfId="81" applyNumberFormat="1" applyFont="1" applyFill="1" applyBorder="1" applyAlignment="1">
      <alignment horizontal="center" vertical="center" wrapText="1"/>
    </xf>
    <xf numFmtId="0" fontId="132" fillId="0" borderId="90" xfId="81" applyFont="1" applyBorder="1" applyAlignment="1">
      <alignment horizontal="center" vertical="center"/>
    </xf>
    <xf numFmtId="0" fontId="98" fillId="26" borderId="8" xfId="81" applyFont="1" applyFill="1" applyBorder="1" applyAlignment="1">
      <alignment horizontal="center" vertical="center" wrapText="1"/>
    </xf>
    <xf numFmtId="0" fontId="126" fillId="0" borderId="0" xfId="80" applyFont="1" applyAlignment="1">
      <alignment horizontal="center" vertical="center"/>
    </xf>
    <xf numFmtId="0" fontId="126" fillId="0" borderId="0" xfId="80" applyFont="1" applyAlignment="1">
      <alignment horizontal="center" vertical="center" wrapText="1"/>
    </xf>
    <xf numFmtId="0" fontId="98" fillId="0" borderId="0" xfId="80" applyFont="1" applyAlignment="1">
      <alignment horizontal="center" vertical="center" wrapText="1"/>
    </xf>
    <xf numFmtId="0" fontId="118" fillId="0" borderId="0" xfId="80">
      <alignment horizontal="left" vertical="center"/>
    </xf>
    <xf numFmtId="3" fontId="17" fillId="0" borderId="0" xfId="81" applyNumberFormat="1" applyFont="1" applyAlignment="1">
      <alignment horizontal="center" vertical="center"/>
    </xf>
    <xf numFmtId="0" fontId="132" fillId="0" borderId="6" xfId="81" quotePrefix="1" applyFont="1" applyBorder="1" applyAlignment="1">
      <alignment horizontal="center" vertical="center" wrapText="1"/>
    </xf>
    <xf numFmtId="164" fontId="2" fillId="0" borderId="25" xfId="81" applyNumberFormat="1" applyFill="1" applyBorder="1" applyAlignment="1" applyProtection="1">
      <alignment horizontal="center" vertical="center"/>
      <protection locked="0"/>
    </xf>
    <xf numFmtId="164" fontId="2" fillId="0" borderId="6" xfId="81" applyNumberFormat="1" applyFont="1" applyBorder="1" applyAlignment="1">
      <alignment horizontal="center" vertical="center" wrapText="1"/>
    </xf>
    <xf numFmtId="164" fontId="2" fillId="0" borderId="34" xfId="81" applyNumberFormat="1" applyFill="1" applyBorder="1" applyAlignment="1" applyProtection="1">
      <alignment horizontal="center" vertical="center"/>
      <protection locked="0"/>
    </xf>
    <xf numFmtId="175" fontId="2" fillId="17" borderId="133" xfId="81" applyNumberFormat="1" applyFill="1" applyBorder="1" applyAlignment="1">
      <alignment horizontal="center" vertical="center"/>
    </xf>
    <xf numFmtId="0" fontId="97" fillId="0" borderId="12" xfId="80" applyFont="1" applyBorder="1">
      <alignment horizontal="left" vertical="center"/>
    </xf>
    <xf numFmtId="0" fontId="132" fillId="0" borderId="10" xfId="80" applyFont="1" applyBorder="1" applyAlignment="1">
      <alignment vertical="center"/>
    </xf>
    <xf numFmtId="0" fontId="132" fillId="0" borderId="0" xfId="80" applyFont="1" applyAlignment="1"/>
    <xf numFmtId="0" fontId="118" fillId="0" borderId="0" xfId="80" applyAlignment="1"/>
    <xf numFmtId="0" fontId="97" fillId="0" borderId="9" xfId="80" applyFont="1" applyBorder="1" applyAlignment="1">
      <alignment vertical="center"/>
    </xf>
    <xf numFmtId="0" fontId="117" fillId="0" borderId="0" xfId="80" applyFont="1" applyAlignment="1">
      <alignment vertical="center"/>
    </xf>
    <xf numFmtId="0" fontId="117" fillId="0" borderId="10" xfId="80" applyFont="1" applyBorder="1" applyAlignment="1">
      <alignment vertical="center"/>
    </xf>
    <xf numFmtId="6" fontId="117" fillId="0" borderId="0" xfId="80" applyNumberFormat="1" applyFont="1" applyAlignment="1" applyProtection="1">
      <alignment vertical="center"/>
      <protection locked="0"/>
    </xf>
    <xf numFmtId="6" fontId="117" fillId="0" borderId="0" xfId="80" applyNumberFormat="1" applyFont="1" applyAlignment="1">
      <alignment vertical="center"/>
    </xf>
    <xf numFmtId="0" fontId="19" fillId="0" borderId="9" xfId="80" applyFont="1" applyBorder="1" applyAlignment="1">
      <alignment vertical="center"/>
    </xf>
    <xf numFmtId="0" fontId="19" fillId="0" borderId="0" xfId="80" applyFont="1" applyAlignment="1">
      <alignment horizontal="left" vertical="center" indent="1"/>
    </xf>
    <xf numFmtId="165" fontId="117" fillId="0" borderId="0" xfId="80" applyNumberFormat="1" applyFont="1" applyAlignment="1">
      <alignment vertical="center"/>
    </xf>
    <xf numFmtId="0" fontId="117" fillId="0" borderId="9" xfId="80" applyFont="1" applyBorder="1" applyAlignment="1">
      <alignment horizontal="center" vertical="center"/>
    </xf>
    <xf numFmtId="0" fontId="117" fillId="0" borderId="0" xfId="80" applyFont="1" applyProtection="1">
      <alignment horizontal="left" vertical="center"/>
      <protection locked="0"/>
    </xf>
    <xf numFmtId="0" fontId="117" fillId="0" borderId="0" xfId="80" applyFont="1" applyAlignment="1">
      <alignment horizontal="center" vertical="center"/>
    </xf>
    <xf numFmtId="0" fontId="117" fillId="0" borderId="10" xfId="80" applyFont="1" applyBorder="1" applyAlignment="1">
      <alignment horizontal="center" vertical="center"/>
    </xf>
    <xf numFmtId="0" fontId="117" fillId="0" borderId="127" xfId="80" applyFont="1" applyBorder="1" applyAlignment="1">
      <alignment vertical="center"/>
    </xf>
    <xf numFmtId="165" fontId="118" fillId="0" borderId="0" xfId="80" applyNumberFormat="1" applyAlignment="1"/>
    <xf numFmtId="165" fontId="117" fillId="0" borderId="12" xfId="80" applyNumberFormat="1" applyFont="1" applyBorder="1" applyAlignment="1">
      <alignment vertical="center"/>
    </xf>
    <xf numFmtId="0" fontId="117" fillId="0" borderId="13" xfId="80" applyFont="1" applyBorder="1" applyAlignment="1">
      <alignment vertical="center"/>
    </xf>
    <xf numFmtId="164" fontId="2" fillId="0" borderId="6" xfId="81" applyNumberFormat="1" applyFill="1" applyBorder="1" applyAlignment="1" applyProtection="1">
      <alignment horizontal="center" vertical="center"/>
    </xf>
    <xf numFmtId="164" fontId="2" fillId="0" borderId="7" xfId="81" applyNumberFormat="1" applyFill="1" applyBorder="1" applyAlignment="1" applyProtection="1">
      <alignment horizontal="center" vertical="center"/>
    </xf>
    <xf numFmtId="0" fontId="2" fillId="32" borderId="9" xfId="81" applyFill="1" applyBorder="1" applyAlignment="1">
      <alignment vertical="center" wrapText="1"/>
    </xf>
    <xf numFmtId="0" fontId="2" fillId="32" borderId="9" xfId="81" applyFill="1" applyBorder="1" applyAlignment="1">
      <alignment horizontal="left" vertical="center" wrapText="1"/>
    </xf>
    <xf numFmtId="0" fontId="2" fillId="32" borderId="19" xfId="81" applyFill="1" applyBorder="1" applyAlignment="1">
      <alignment horizontal="left" vertical="center" wrapText="1"/>
    </xf>
    <xf numFmtId="164" fontId="19" fillId="32" borderId="13" xfId="81" applyNumberFormat="1" applyFont="1" applyFill="1" applyBorder="1" applyAlignment="1">
      <alignment horizontal="center" vertical="center"/>
    </xf>
    <xf numFmtId="164" fontId="2" fillId="32" borderId="6" xfId="81" applyNumberFormat="1" applyFill="1" applyBorder="1" applyAlignment="1">
      <alignment horizontal="center" vertical="center"/>
    </xf>
    <xf numFmtId="164" fontId="19" fillId="32" borderId="57" xfId="81" applyNumberFormat="1" applyFont="1" applyFill="1" applyBorder="1" applyAlignment="1">
      <alignment horizontal="center" vertical="center"/>
    </xf>
    <xf numFmtId="0" fontId="18" fillId="0" borderId="26" xfId="81" applyFont="1" applyBorder="1" applyAlignment="1">
      <alignment horizontal="right" vertical="center" wrapText="1"/>
    </xf>
    <xf numFmtId="164" fontId="18" fillId="0" borderId="118" xfId="81" applyNumberFormat="1" applyFont="1" applyBorder="1" applyAlignment="1">
      <alignment vertical="center" wrapText="1"/>
    </xf>
    <xf numFmtId="164" fontId="18" fillId="4" borderId="118" xfId="81" applyNumberFormat="1" applyFont="1" applyFill="1" applyBorder="1" applyAlignment="1" applyProtection="1">
      <alignment vertical="center" wrapText="1"/>
      <protection locked="0"/>
    </xf>
    <xf numFmtId="164" fontId="18" fillId="23" borderId="118" xfId="81" applyNumberFormat="1" applyFont="1" applyFill="1" applyBorder="1" applyAlignment="1">
      <alignment horizontal="center" vertical="center" wrapText="1"/>
    </xf>
    <xf numFmtId="0" fontId="16" fillId="0" borderId="26" xfId="81" applyFont="1" applyBorder="1" applyAlignment="1">
      <alignment horizontal="right" vertical="center" wrapText="1"/>
    </xf>
    <xf numFmtId="0" fontId="18" fillId="0" borderId="26" xfId="81" applyFont="1" applyBorder="1" applyAlignment="1">
      <alignment horizontal="right" vertical="center"/>
    </xf>
    <xf numFmtId="0" fontId="84" fillId="7" borderId="26" xfId="81" applyFont="1" applyFill="1" applyBorder="1" applyAlignment="1">
      <alignment horizontal="left" vertical="center" wrapText="1"/>
    </xf>
    <xf numFmtId="0" fontId="18" fillId="22" borderId="118" xfId="81" applyFont="1" applyFill="1" applyBorder="1" applyAlignment="1">
      <alignment vertical="center" wrapText="1"/>
    </xf>
    <xf numFmtId="164" fontId="18" fillId="22" borderId="118" xfId="81" applyNumberFormat="1" applyFont="1" applyFill="1" applyBorder="1" applyAlignment="1">
      <alignment vertical="center" wrapText="1"/>
    </xf>
    <xf numFmtId="0" fontId="18" fillId="4" borderId="26" xfId="81" applyFont="1" applyFill="1" applyBorder="1" applyAlignment="1" applyProtection="1">
      <alignment horizontal="right" vertical="center" wrapText="1"/>
      <protection locked="0"/>
    </xf>
    <xf numFmtId="164" fontId="16" fillId="0" borderId="118" xfId="81" applyNumberFormat="1" applyFont="1" applyBorder="1" applyAlignment="1">
      <alignment vertical="center" wrapText="1"/>
    </xf>
    <xf numFmtId="0" fontId="6" fillId="0" borderId="26" xfId="81" applyFont="1" applyBorder="1" applyAlignment="1">
      <alignment horizontal="right" vertical="center" wrapText="1"/>
    </xf>
    <xf numFmtId="164" fontId="18" fillId="17" borderId="118" xfId="81" applyNumberFormat="1" applyFont="1" applyFill="1" applyBorder="1" applyAlignment="1">
      <alignment vertical="center" wrapText="1"/>
    </xf>
    <xf numFmtId="0" fontId="18" fillId="0" borderId="26" xfId="81" applyFont="1" applyBorder="1" applyAlignment="1" applyProtection="1">
      <alignment horizontal="right" vertical="center" wrapText="1"/>
      <protection locked="0"/>
    </xf>
    <xf numFmtId="0" fontId="120" fillId="0" borderId="9" xfId="81" applyFont="1" applyBorder="1" applyAlignment="1">
      <alignment horizontal="left" vertical="center"/>
    </xf>
    <xf numFmtId="0" fontId="18" fillId="0" borderId="0" xfId="81" applyFont="1" applyBorder="1" applyAlignment="1">
      <alignment vertical="center" wrapText="1"/>
    </xf>
    <xf numFmtId="0" fontId="18" fillId="0" borderId="0" xfId="81" applyFont="1" applyBorder="1" applyAlignment="1">
      <alignment horizontal="left" vertical="center"/>
    </xf>
    <xf numFmtId="0" fontId="16" fillId="0" borderId="0" xfId="81" applyFont="1" applyBorder="1" applyAlignment="1">
      <alignment horizontal="right" vertical="center"/>
    </xf>
    <xf numFmtId="0" fontId="16" fillId="0" borderId="19" xfId="81" applyFont="1" applyBorder="1" applyAlignment="1">
      <alignment vertical="center"/>
    </xf>
    <xf numFmtId="0" fontId="18" fillId="0" borderId="12" xfId="81" applyFont="1" applyBorder="1" applyAlignment="1">
      <alignment horizontal="left" vertical="center"/>
    </xf>
    <xf numFmtId="0" fontId="16" fillId="0" borderId="12" xfId="81" applyFont="1" applyBorder="1" applyAlignment="1">
      <alignment horizontal="right" vertical="center"/>
    </xf>
    <xf numFmtId="0" fontId="41" fillId="32" borderId="17" xfId="81" applyFont="1" applyFill="1" applyBorder="1" applyAlignment="1">
      <alignment horizontal="center" vertical="center" wrapText="1"/>
    </xf>
    <xf numFmtId="164" fontId="41" fillId="32" borderId="0" xfId="81" applyNumberFormat="1" applyFont="1" applyFill="1" applyAlignment="1">
      <alignment horizontal="center" vertical="center" wrapText="1"/>
    </xf>
    <xf numFmtId="164" fontId="127" fillId="32" borderId="0" xfId="81" applyNumberFormat="1" applyFont="1" applyFill="1" applyAlignment="1" applyProtection="1">
      <alignment horizontal="center" vertical="center" wrapText="1"/>
      <protection locked="0"/>
    </xf>
    <xf numFmtId="164" fontId="127" fillId="32" borderId="12" xfId="81" applyNumberFormat="1" applyFont="1" applyFill="1" applyBorder="1" applyAlignment="1" applyProtection="1">
      <alignment horizontal="center" vertical="center" wrapText="1"/>
      <protection locked="0"/>
    </xf>
    <xf numFmtId="0" fontId="41" fillId="32" borderId="30" xfId="81" applyFont="1" applyFill="1" applyBorder="1" applyAlignment="1">
      <alignment horizontal="center" vertical="center" wrapText="1"/>
    </xf>
    <xf numFmtId="5" fontId="41" fillId="32" borderId="10" xfId="81" applyNumberFormat="1" applyFont="1" applyFill="1" applyBorder="1" applyAlignment="1">
      <alignment horizontal="center" vertical="center" wrapText="1"/>
    </xf>
    <xf numFmtId="164" fontId="127" fillId="32" borderId="10" xfId="81" applyNumberFormat="1" applyFont="1" applyFill="1" applyBorder="1" applyAlignment="1" applyProtection="1">
      <alignment horizontal="center" vertical="center" wrapText="1"/>
      <protection locked="0"/>
    </xf>
    <xf numFmtId="164" fontId="127" fillId="32" borderId="13" xfId="81" applyNumberFormat="1" applyFont="1" applyFill="1" applyBorder="1" applyAlignment="1" applyProtection="1">
      <alignment horizontal="center" vertical="center" wrapText="1"/>
      <protection locked="0"/>
    </xf>
    <xf numFmtId="0" fontId="25" fillId="0" borderId="0" xfId="81" quotePrefix="1" applyFont="1" applyAlignment="1">
      <alignment horizontal="right" vertical="center" wrapText="1"/>
    </xf>
    <xf numFmtId="164" fontId="2" fillId="0" borderId="6" xfId="81" applyNumberFormat="1" applyFill="1" applyBorder="1" applyAlignment="1" applyProtection="1">
      <alignment horizontal="center" vertical="center"/>
      <protection locked="0"/>
    </xf>
    <xf numFmtId="0" fontId="18" fillId="0" borderId="6" xfId="83" applyNumberFormat="1" applyFont="1" applyFill="1" applyBorder="1" applyAlignment="1" applyProtection="1">
      <alignment horizontal="center" vertical="center" wrapText="1"/>
    </xf>
    <xf numFmtId="0" fontId="18" fillId="0" borderId="0" xfId="0" applyFont="1"/>
    <xf numFmtId="0" fontId="18" fillId="0" borderId="0" xfId="87" applyFont="1" applyBorder="1"/>
    <xf numFmtId="6" fontId="2" fillId="0" borderId="118" xfId="91" applyNumberFormat="1" applyFont="1" applyFill="1" applyBorder="1" applyAlignment="1">
      <alignment horizontal="center" vertical="center"/>
    </xf>
    <xf numFmtId="38" fontId="16" fillId="0" borderId="0" xfId="0" applyNumberFormat="1" applyFont="1" applyBorder="1" applyAlignment="1">
      <alignment horizontal="right"/>
    </xf>
    <xf numFmtId="38" fontId="18" fillId="0" borderId="0" xfId="0" applyNumberFormat="1" applyFont="1" applyFill="1" applyProtection="1"/>
    <xf numFmtId="0" fontId="117" fillId="0" borderId="16" xfId="81" applyFont="1" applyFill="1" applyBorder="1" applyAlignment="1" applyProtection="1">
      <alignment horizontal="left" vertical="center"/>
      <protection locked="0"/>
    </xf>
    <xf numFmtId="164" fontId="18" fillId="23" borderId="119" xfId="81" applyNumberFormat="1" applyFont="1" applyFill="1" applyBorder="1" applyAlignment="1">
      <alignment horizontal="center" vertical="center" wrapText="1"/>
    </xf>
    <xf numFmtId="164" fontId="18" fillId="4" borderId="119" xfId="81" applyNumberFormat="1" applyFont="1" applyFill="1" applyBorder="1" applyAlignment="1" applyProtection="1">
      <alignment vertical="center" wrapText="1"/>
      <protection locked="0"/>
    </xf>
    <xf numFmtId="164" fontId="18" fillId="0" borderId="119" xfId="81" applyNumberFormat="1" applyFont="1" applyBorder="1" applyAlignment="1">
      <alignment vertical="center" wrapText="1"/>
    </xf>
    <xf numFmtId="0" fontId="18" fillId="22" borderId="119" xfId="81" applyFont="1" applyFill="1" applyBorder="1" applyAlignment="1">
      <alignment vertical="center" wrapText="1"/>
    </xf>
    <xf numFmtId="164" fontId="16" fillId="0" borderId="119" xfId="81" applyNumberFormat="1" applyFont="1" applyBorder="1" applyAlignment="1">
      <alignment vertical="center" wrapText="1"/>
    </xf>
    <xf numFmtId="164" fontId="18" fillId="22" borderId="119" xfId="81" applyNumberFormat="1" applyFont="1" applyFill="1" applyBorder="1" applyAlignment="1">
      <alignment vertical="center" wrapText="1"/>
    </xf>
    <xf numFmtId="164" fontId="18" fillId="17" borderId="119" xfId="81" applyNumberFormat="1" applyFont="1" applyFill="1" applyBorder="1" applyAlignment="1">
      <alignment vertical="center" wrapText="1"/>
    </xf>
    <xf numFmtId="164" fontId="18" fillId="0" borderId="62" xfId="81" applyNumberFormat="1" applyFont="1" applyBorder="1" applyAlignment="1">
      <alignment vertical="center" wrapText="1"/>
    </xf>
    <xf numFmtId="6" fontId="2" fillId="0" borderId="46" xfId="91" applyNumberFormat="1" applyFont="1" applyFill="1" applyBorder="1" applyAlignment="1">
      <alignment horizontal="center" vertical="center"/>
    </xf>
    <xf numFmtId="0" fontId="121" fillId="0" borderId="0" xfId="81" applyFont="1" applyAlignment="1">
      <alignment horizontal="right" vertical="center" wrapText="1"/>
    </xf>
    <xf numFmtId="0" fontId="18" fillId="0" borderId="28" xfId="81" applyFont="1" applyFill="1" applyBorder="1" applyAlignment="1">
      <alignment horizontal="left" vertical="center" wrapText="1"/>
    </xf>
    <xf numFmtId="0" fontId="18" fillId="0" borderId="53" xfId="81" applyFont="1" applyFill="1" applyBorder="1" applyAlignment="1">
      <alignment horizontal="left" vertical="center" wrapText="1"/>
    </xf>
    <xf numFmtId="0" fontId="18" fillId="0" borderId="0" xfId="87" applyFont="1" applyBorder="1" applyAlignment="1">
      <alignment vertical="center"/>
    </xf>
    <xf numFmtId="0" fontId="121" fillId="0" borderId="0" xfId="81" applyFont="1" applyAlignment="1">
      <alignment vertical="center" wrapText="1"/>
    </xf>
    <xf numFmtId="0" fontId="18" fillId="0" borderId="0" xfId="87" applyFont="1" applyBorder="1" applyAlignment="1">
      <alignment horizontal="left" vertical="center"/>
    </xf>
    <xf numFmtId="0" fontId="121" fillId="0" borderId="0" xfId="81" applyFont="1" applyBorder="1" applyAlignment="1">
      <alignment horizontal="left" vertical="center" wrapText="1"/>
    </xf>
    <xf numFmtId="0" fontId="84" fillId="7" borderId="51" xfId="81" applyFont="1" applyFill="1" applyBorder="1" applyAlignment="1">
      <alignment horizontal="left" vertical="center" wrapText="1"/>
    </xf>
    <xf numFmtId="0" fontId="18" fillId="22" borderId="46" xfId="81" applyFont="1" applyFill="1" applyBorder="1" applyAlignment="1">
      <alignment vertical="center" wrapText="1"/>
    </xf>
    <xf numFmtId="0" fontId="16" fillId="0" borderId="71" xfId="81" applyFont="1" applyBorder="1" applyAlignment="1">
      <alignment horizontal="center" vertical="center" wrapText="1"/>
    </xf>
    <xf numFmtId="0" fontId="16" fillId="0" borderId="76" xfId="81" applyFont="1" applyBorder="1" applyAlignment="1">
      <alignment horizontal="center" vertical="center" wrapText="1"/>
    </xf>
    <xf numFmtId="0" fontId="16" fillId="0" borderId="60" xfId="81" applyFont="1" applyBorder="1" applyAlignment="1">
      <alignment horizontal="center" vertical="center" wrapText="1"/>
    </xf>
    <xf numFmtId="49" fontId="15" fillId="0" borderId="57" xfId="0" applyNumberFormat="1" applyFont="1" applyBorder="1" applyAlignment="1">
      <alignment horizontal="center" vertical="center"/>
    </xf>
    <xf numFmtId="14" fontId="0" fillId="4" borderId="26" xfId="0" applyNumberFormat="1" applyFill="1" applyBorder="1" applyAlignment="1" applyProtection="1">
      <alignment horizontal="center" vertical="center"/>
      <protection locked="0"/>
    </xf>
    <xf numFmtId="0" fontId="0" fillId="4" borderId="8" xfId="0" applyFill="1" applyBorder="1" applyAlignment="1" applyProtection="1">
      <alignment horizontal="center" vertical="center"/>
      <protection locked="0"/>
    </xf>
    <xf numFmtId="164" fontId="0" fillId="4" borderId="8" xfId="0" applyNumberFormat="1" applyFill="1" applyBorder="1" applyAlignment="1" applyProtection="1">
      <alignment horizontal="right" vertical="center"/>
      <protection locked="0"/>
    </xf>
    <xf numFmtId="10" fontId="0" fillId="4" borderId="8" xfId="0" applyNumberFormat="1" applyFill="1" applyBorder="1" applyAlignment="1" applyProtection="1">
      <alignment horizontal="center" vertical="center"/>
      <protection locked="0"/>
    </xf>
    <xf numFmtId="0" fontId="18" fillId="4" borderId="8" xfId="0" applyFont="1" applyFill="1" applyBorder="1" applyAlignment="1" applyProtection="1">
      <alignment horizontal="center" vertical="center"/>
      <protection locked="0"/>
    </xf>
    <xf numFmtId="164" fontId="0" fillId="4" borderId="33" xfId="0" applyNumberFormat="1" applyFill="1" applyBorder="1" applyAlignment="1" applyProtection="1">
      <alignment horizontal="right" vertical="center"/>
      <protection locked="0"/>
    </xf>
    <xf numFmtId="164" fontId="0" fillId="4" borderId="27" xfId="0" applyNumberFormat="1" applyFill="1" applyBorder="1" applyAlignment="1" applyProtection="1">
      <alignment horizontal="right" vertical="center"/>
      <protection locked="0"/>
    </xf>
    <xf numFmtId="164" fontId="0" fillId="4" borderId="28" xfId="0" applyNumberFormat="1" applyFill="1" applyBorder="1" applyAlignment="1" applyProtection="1">
      <alignment horizontal="right" vertical="center"/>
      <protection locked="0"/>
    </xf>
    <xf numFmtId="0" fontId="0" fillId="4" borderId="5" xfId="0" applyFill="1" applyBorder="1" applyAlignment="1" applyProtection="1">
      <alignment horizontal="center" vertical="center"/>
      <protection locked="0"/>
    </xf>
    <xf numFmtId="164" fontId="0" fillId="4" borderId="5" xfId="0" applyNumberFormat="1" applyFill="1" applyBorder="1" applyAlignment="1" applyProtection="1">
      <alignment horizontal="right" vertical="center"/>
      <protection locked="0"/>
    </xf>
    <xf numFmtId="10" fontId="0" fillId="4" borderId="5" xfId="0" applyNumberFormat="1" applyFill="1" applyBorder="1" applyAlignment="1" applyProtection="1">
      <alignment horizontal="center" vertical="center"/>
      <protection locked="0"/>
    </xf>
    <xf numFmtId="164" fontId="0" fillId="4" borderId="16" xfId="0" applyNumberFormat="1" applyFill="1" applyBorder="1" applyAlignment="1" applyProtection="1">
      <alignment horizontal="right" vertical="center"/>
      <protection locked="0"/>
    </xf>
    <xf numFmtId="164" fontId="0" fillId="4" borderId="47" xfId="0" applyNumberFormat="1" applyFill="1" applyBorder="1" applyAlignment="1" applyProtection="1">
      <alignment horizontal="right" vertical="center"/>
      <protection locked="0"/>
    </xf>
    <xf numFmtId="9" fontId="0" fillId="4" borderId="47" xfId="0" applyNumberFormat="1" applyFill="1" applyBorder="1" applyAlignment="1" applyProtection="1">
      <alignment horizontal="center" vertical="center"/>
      <protection locked="0"/>
    </xf>
    <xf numFmtId="0" fontId="12" fillId="0" borderId="64" xfId="0" applyFont="1" applyBorder="1" applyAlignment="1">
      <alignment horizontal="right" vertical="center"/>
    </xf>
    <xf numFmtId="164" fontId="0" fillId="0" borderId="65" xfId="0" applyNumberFormat="1" applyBorder="1" applyAlignment="1">
      <alignment horizontal="right" vertical="center"/>
    </xf>
    <xf numFmtId="164" fontId="0" fillId="0" borderId="56" xfId="0" applyNumberFormat="1" applyBorder="1" applyAlignment="1">
      <alignment horizontal="right" vertical="center"/>
    </xf>
    <xf numFmtId="164" fontId="0" fillId="0" borderId="60" xfId="0" applyNumberFormat="1" applyBorder="1" applyAlignment="1">
      <alignment horizontal="right" vertical="center"/>
    </xf>
    <xf numFmtId="0" fontId="0" fillId="4" borderId="7" xfId="0" applyFill="1" applyBorder="1" applyAlignment="1" applyProtection="1">
      <alignment horizontal="center" vertical="center"/>
      <protection locked="0"/>
    </xf>
    <xf numFmtId="164" fontId="0" fillId="4" borderId="8" xfId="0" applyNumberFormat="1" applyFill="1" applyBorder="1" applyAlignment="1" applyProtection="1">
      <alignment horizontal="center" vertical="center"/>
      <protection locked="0"/>
    </xf>
    <xf numFmtId="0" fontId="0" fillId="4" borderId="6" xfId="0" applyFill="1" applyBorder="1" applyAlignment="1" applyProtection="1">
      <alignment horizontal="center" vertical="center"/>
      <protection locked="0"/>
    </xf>
    <xf numFmtId="164" fontId="0" fillId="4" borderId="46" xfId="0" applyNumberFormat="1" applyFill="1" applyBorder="1" applyAlignment="1" applyProtection="1">
      <alignment horizontal="right" vertical="center"/>
      <protection locked="0"/>
    </xf>
    <xf numFmtId="9" fontId="0" fillId="0" borderId="47" xfId="0" applyNumberFormat="1" applyFill="1" applyBorder="1" applyAlignment="1" applyProtection="1">
      <alignment horizontal="center" vertical="center"/>
    </xf>
    <xf numFmtId="164" fontId="0" fillId="0" borderId="47" xfId="0" applyNumberFormat="1" applyBorder="1" applyAlignment="1">
      <alignment horizontal="right" vertical="center"/>
    </xf>
    <xf numFmtId="164" fontId="0" fillId="0" borderId="27" xfId="0" applyNumberFormat="1" applyBorder="1" applyAlignment="1" applyProtection="1">
      <alignment horizontal="right" vertical="center"/>
      <protection locked="0"/>
    </xf>
    <xf numFmtId="164" fontId="0" fillId="0" borderId="53" xfId="0" applyNumberFormat="1" applyBorder="1" applyAlignment="1">
      <alignment horizontal="right" vertical="center"/>
    </xf>
    <xf numFmtId="164" fontId="0" fillId="0" borderId="21" xfId="0" applyNumberFormat="1" applyBorder="1" applyAlignment="1">
      <alignment horizontal="center" vertical="center"/>
    </xf>
    <xf numFmtId="164" fontId="0" fillId="0" borderId="59" xfId="0" applyNumberFormat="1" applyBorder="1" applyAlignment="1">
      <alignment horizontal="right" vertical="center"/>
    </xf>
    <xf numFmtId="164" fontId="0" fillId="0" borderId="29" xfId="0" applyNumberFormat="1" applyBorder="1" applyAlignment="1">
      <alignment horizontal="right" vertical="center"/>
    </xf>
    <xf numFmtId="0" fontId="0" fillId="0" borderId="29" xfId="0" applyBorder="1" applyAlignment="1">
      <alignment horizontal="center" vertical="center"/>
    </xf>
    <xf numFmtId="49" fontId="0" fillId="0" borderId="58" xfId="0" applyNumberFormat="1" applyBorder="1" applyAlignment="1">
      <alignment horizontal="right" vertical="center"/>
    </xf>
    <xf numFmtId="164" fontId="0" fillId="0" borderId="12" xfId="0" applyNumberFormat="1" applyBorder="1" applyAlignment="1">
      <alignment horizontal="right" vertical="center"/>
    </xf>
    <xf numFmtId="164" fontId="0" fillId="0" borderId="47" xfId="0" applyNumberFormat="1" applyBorder="1" applyAlignment="1" applyProtection="1">
      <alignment horizontal="right" vertical="center"/>
      <protection locked="0"/>
    </xf>
    <xf numFmtId="0" fontId="17" fillId="12" borderId="28" xfId="81" applyFont="1" applyFill="1" applyBorder="1" applyAlignment="1" applyProtection="1">
      <alignment horizontal="left" vertical="center" wrapText="1"/>
      <protection locked="0"/>
    </xf>
    <xf numFmtId="0" fontId="17" fillId="0" borderId="28" xfId="81" applyFont="1" applyFill="1" applyBorder="1" applyAlignment="1">
      <alignment horizontal="left" vertical="center" wrapText="1"/>
    </xf>
    <xf numFmtId="0" fontId="17" fillId="22" borderId="28" xfId="81" applyFont="1" applyFill="1" applyBorder="1" applyAlignment="1">
      <alignment horizontal="left" vertical="center" wrapText="1"/>
    </xf>
    <xf numFmtId="0" fontId="30" fillId="0" borderId="28" xfId="81" applyFont="1" applyFill="1" applyBorder="1" applyAlignment="1">
      <alignment horizontal="left" vertical="center" wrapText="1"/>
    </xf>
    <xf numFmtId="0" fontId="18" fillId="22" borderId="37" xfId="81" applyFont="1" applyFill="1" applyBorder="1" applyAlignment="1">
      <alignment horizontal="left" vertical="center" wrapText="1"/>
    </xf>
    <xf numFmtId="0" fontId="18" fillId="22" borderId="72" xfId="81" applyFont="1" applyFill="1" applyBorder="1" applyAlignment="1">
      <alignment vertical="center" wrapText="1"/>
    </xf>
    <xf numFmtId="0" fontId="0" fillId="0" borderId="0" xfId="0"/>
    <xf numFmtId="0" fontId="23" fillId="0" borderId="0" xfId="0" applyFont="1" applyAlignment="1">
      <alignment horizontal="center" vertical="top" wrapText="1"/>
    </xf>
    <xf numFmtId="176" fontId="23" fillId="0" borderId="0" xfId="0" applyNumberFormat="1" applyFont="1" applyAlignment="1">
      <alignment horizontal="center" vertical="top" wrapText="1"/>
    </xf>
    <xf numFmtId="0" fontId="23" fillId="0" borderId="6" xfId="0" applyFont="1" applyBorder="1" applyAlignment="1">
      <alignment horizontal="center" vertical="top"/>
    </xf>
    <xf numFmtId="176" fontId="26" fillId="0" borderId="61" xfId="0" applyNumberFormat="1" applyFont="1" applyBorder="1" applyAlignment="1">
      <alignment horizontal="center" vertical="center" wrapText="1"/>
    </xf>
    <xf numFmtId="176" fontId="26" fillId="0" borderId="1" xfId="0" applyNumberFormat="1" applyFont="1" applyBorder="1" applyAlignment="1">
      <alignment horizontal="center" vertical="center" wrapText="1"/>
    </xf>
    <xf numFmtId="176" fontId="26" fillId="0" borderId="2" xfId="0" applyNumberFormat="1" applyFont="1" applyBorder="1" applyAlignment="1">
      <alignment horizontal="center" vertical="center" wrapText="1"/>
    </xf>
    <xf numFmtId="176" fontId="26" fillId="0" borderId="15" xfId="0" applyNumberFormat="1" applyFont="1" applyBorder="1" applyAlignment="1">
      <alignment horizontal="center" vertical="center" wrapText="1"/>
    </xf>
    <xf numFmtId="176" fontId="26" fillId="0" borderId="0" xfId="0" applyNumberFormat="1" applyFont="1" applyAlignment="1">
      <alignment horizontal="center" vertical="center" wrapText="1"/>
    </xf>
    <xf numFmtId="176" fontId="26" fillId="0" borderId="4" xfId="0" applyNumberFormat="1" applyFont="1" applyBorder="1" applyAlignment="1">
      <alignment horizontal="center" vertical="center" wrapText="1"/>
    </xf>
    <xf numFmtId="176" fontId="26" fillId="0" borderId="16" xfId="0" applyNumberFormat="1" applyFont="1" applyBorder="1" applyAlignment="1">
      <alignment horizontal="center" vertical="center" wrapText="1"/>
    </xf>
    <xf numFmtId="176" fontId="26" fillId="0" borderId="6" xfId="0" applyNumberFormat="1" applyFont="1" applyBorder="1" applyAlignment="1">
      <alignment horizontal="center" vertical="center" wrapText="1"/>
    </xf>
    <xf numFmtId="176" fontId="26" fillId="0" borderId="5" xfId="0" applyNumberFormat="1" applyFont="1" applyBorder="1" applyAlignment="1">
      <alignment horizontal="center" vertical="center" wrapText="1"/>
    </xf>
    <xf numFmtId="0" fontId="26" fillId="0" borderId="61"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0" xfId="0" applyFont="1" applyAlignment="1">
      <alignment horizontal="center" vertical="center" wrapText="1"/>
    </xf>
    <xf numFmtId="0" fontId="26" fillId="0" borderId="4"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5" xfId="0" applyFont="1" applyBorder="1" applyAlignment="1">
      <alignment horizontal="center" vertical="center" wrapText="1"/>
    </xf>
    <xf numFmtId="176" fontId="76" fillId="0" borderId="1" xfId="17" applyNumberFormat="1" applyFont="1" applyBorder="1" applyAlignment="1">
      <alignment horizontal="center" vertical="center" wrapText="1"/>
    </xf>
    <xf numFmtId="176" fontId="76" fillId="0" borderId="2" xfId="17" applyNumberFormat="1" applyFont="1" applyBorder="1" applyAlignment="1">
      <alignment horizontal="center" vertical="center" wrapText="1"/>
    </xf>
    <xf numFmtId="176" fontId="76" fillId="0" borderId="0" xfId="17" applyNumberFormat="1" applyFont="1" applyAlignment="1">
      <alignment horizontal="center" vertical="center" wrapText="1"/>
    </xf>
    <xf numFmtId="176" fontId="76" fillId="0" borderId="4" xfId="17" applyNumberFormat="1" applyFont="1" applyBorder="1" applyAlignment="1">
      <alignment horizontal="center" vertical="center" wrapText="1"/>
    </xf>
    <xf numFmtId="176" fontId="76" fillId="0" borderId="6" xfId="17" applyNumberFormat="1" applyFont="1" applyBorder="1" applyAlignment="1">
      <alignment horizontal="center" vertical="center" wrapText="1"/>
    </xf>
    <xf numFmtId="176" fontId="76" fillId="0" borderId="5" xfId="17" applyNumberFormat="1" applyFont="1" applyBorder="1" applyAlignment="1">
      <alignment horizontal="center" vertical="center" wrapText="1"/>
    </xf>
    <xf numFmtId="0" fontId="0" fillId="0" borderId="0" xfId="0" applyAlignment="1">
      <alignment horizontal="left" vertical="top" wrapText="1"/>
    </xf>
    <xf numFmtId="0" fontId="0" fillId="0" borderId="0" xfId="0" applyAlignment="1">
      <alignment horizontal="left" vertical="top" wrapText="1" shrinkToFit="1"/>
    </xf>
    <xf numFmtId="0" fontId="16" fillId="0" borderId="16" xfId="0" applyFont="1" applyBorder="1" applyAlignment="1">
      <alignment horizontal="left" vertical="top" wrapText="1"/>
    </xf>
    <xf numFmtId="0" fontId="16" fillId="0" borderId="6" xfId="0" applyFont="1" applyBorder="1" applyAlignment="1">
      <alignment horizontal="left" vertical="top" wrapText="1"/>
    </xf>
    <xf numFmtId="0" fontId="16" fillId="0" borderId="117" xfId="0" applyFont="1" applyBorder="1" applyAlignment="1">
      <alignment horizontal="left" vertical="top" wrapText="1"/>
    </xf>
    <xf numFmtId="0" fontId="16" fillId="0" borderId="0" xfId="0" applyFont="1" applyBorder="1" applyAlignment="1">
      <alignment horizontal="left" vertical="top" wrapText="1"/>
    </xf>
    <xf numFmtId="0" fontId="16" fillId="0" borderId="4" xfId="0" applyFont="1" applyBorder="1" applyAlignment="1">
      <alignment horizontal="left" vertical="top" wrapText="1"/>
    </xf>
    <xf numFmtId="0" fontId="18" fillId="0" borderId="61" xfId="0" applyFont="1" applyBorder="1" applyAlignment="1">
      <alignment horizontal="left" vertical="top" wrapText="1"/>
    </xf>
    <xf numFmtId="0" fontId="26" fillId="0" borderId="1" xfId="0" applyFont="1" applyBorder="1" applyAlignment="1">
      <alignment horizontal="left" vertical="top" wrapText="1"/>
    </xf>
    <xf numFmtId="0" fontId="16" fillId="0" borderId="15" xfId="0" applyFont="1" applyBorder="1" applyAlignment="1">
      <alignment horizontal="left" vertical="top" wrapText="1"/>
    </xf>
    <xf numFmtId="0" fontId="16" fillId="0" borderId="0" xfId="0" applyFont="1" applyAlignment="1">
      <alignment horizontal="left" vertical="top" wrapText="1"/>
    </xf>
    <xf numFmtId="0" fontId="18" fillId="0" borderId="15" xfId="0" applyFont="1" applyBorder="1" applyAlignment="1">
      <alignment horizontal="left" vertical="top" wrapText="1"/>
    </xf>
    <xf numFmtId="0" fontId="26" fillId="0" borderId="0" xfId="0" applyFont="1" applyAlignment="1">
      <alignment horizontal="left" vertical="top" wrapText="1"/>
    </xf>
    <xf numFmtId="0" fontId="11" fillId="0" borderId="0" xfId="0" applyFont="1"/>
    <xf numFmtId="0" fontId="10" fillId="0" borderId="0" xfId="0" applyFont="1" applyAlignment="1">
      <alignment horizontal="center"/>
    </xf>
    <xf numFmtId="0" fontId="2" fillId="0" borderId="0" xfId="0" applyFont="1" applyAlignment="1">
      <alignment horizontal="left" vertical="top" wrapText="1" shrinkToFit="1"/>
    </xf>
    <xf numFmtId="0" fontId="2" fillId="0" borderId="0" xfId="0" applyFont="1" applyAlignment="1">
      <alignment horizontal="left" vertical="top" wrapText="1"/>
    </xf>
    <xf numFmtId="0" fontId="26" fillId="0" borderId="33" xfId="0" applyFont="1" applyBorder="1" applyAlignment="1">
      <alignment horizontal="left" vertical="top" wrapText="1"/>
    </xf>
    <xf numFmtId="0" fontId="26" fillId="0" borderId="7" xfId="0" applyFont="1" applyBorder="1" applyAlignment="1">
      <alignment horizontal="left" vertical="top" wrapText="1"/>
    </xf>
    <xf numFmtId="0" fontId="26" fillId="0" borderId="8" xfId="0" applyFont="1" applyBorder="1" applyAlignment="1">
      <alignment horizontal="left" vertical="top" wrapText="1"/>
    </xf>
    <xf numFmtId="176" fontId="26" fillId="0" borderId="33" xfId="0" applyNumberFormat="1" applyFont="1" applyBorder="1" applyAlignment="1">
      <alignment horizontal="center" vertical="center" wrapText="1"/>
    </xf>
    <xf numFmtId="176" fontId="26" fillId="0" borderId="7" xfId="0" applyNumberFormat="1" applyFont="1" applyBorder="1" applyAlignment="1">
      <alignment horizontal="center" vertical="center" wrapText="1"/>
    </xf>
    <xf numFmtId="176" fontId="26" fillId="0" borderId="8" xfId="0" applyNumberFormat="1" applyFont="1" applyBorder="1" applyAlignment="1">
      <alignment horizontal="center" vertical="center" wrapText="1"/>
    </xf>
    <xf numFmtId="176" fontId="76" fillId="0" borderId="33" xfId="17" applyNumberFormat="1" applyFont="1" applyBorder="1" applyAlignment="1">
      <alignment horizontal="center" vertical="center" wrapText="1"/>
    </xf>
    <xf numFmtId="176" fontId="76" fillId="0" borderId="7" xfId="17" applyNumberFormat="1" applyFont="1" applyBorder="1" applyAlignment="1">
      <alignment horizontal="center" vertical="center" wrapText="1"/>
    </xf>
    <xf numFmtId="176" fontId="76" fillId="0" borderId="8" xfId="17" applyNumberFormat="1" applyFont="1" applyBorder="1" applyAlignment="1">
      <alignment horizontal="center" vertical="center" wrapText="1"/>
    </xf>
    <xf numFmtId="0" fontId="26" fillId="0" borderId="33"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8" xfId="0" applyFont="1" applyBorder="1" applyAlignment="1">
      <alignment horizontal="center" vertical="center" wrapText="1"/>
    </xf>
    <xf numFmtId="0" fontId="2" fillId="4" borderId="87" xfId="0" applyFont="1" applyFill="1" applyBorder="1" applyAlignment="1" applyProtection="1">
      <alignment horizontal="center" shrinkToFit="1"/>
      <protection locked="0"/>
    </xf>
    <xf numFmtId="0" fontId="2" fillId="4" borderId="25" xfId="0" applyFont="1" applyFill="1" applyBorder="1" applyAlignment="1" applyProtection="1">
      <alignment horizontal="center" shrinkToFit="1"/>
      <protection locked="0"/>
    </xf>
    <xf numFmtId="0" fontId="106" fillId="0" borderId="19" xfId="0" applyFont="1" applyBorder="1" applyAlignment="1">
      <alignment horizontal="center" vertical="center" wrapText="1"/>
    </xf>
    <xf numFmtId="0" fontId="106" fillId="0" borderId="12" xfId="0" applyFont="1" applyBorder="1" applyAlignment="1">
      <alignment horizontal="center" vertical="center" wrapText="1"/>
    </xf>
    <xf numFmtId="0" fontId="106" fillId="0" borderId="13" xfId="0" applyFont="1" applyBorder="1" applyAlignment="1">
      <alignment horizontal="center" vertical="center" wrapText="1"/>
    </xf>
    <xf numFmtId="0" fontId="69" fillId="4" borderId="81" xfId="0" applyFont="1" applyFill="1" applyBorder="1" applyAlignment="1" applyProtection="1">
      <alignment horizontal="center" vertical="center" shrinkToFit="1"/>
      <protection locked="0"/>
    </xf>
    <xf numFmtId="0" fontId="69" fillId="4" borderId="6" xfId="0" applyFont="1" applyFill="1" applyBorder="1" applyAlignment="1" applyProtection="1">
      <alignment horizontal="center" vertical="center" shrinkToFit="1"/>
      <protection locked="0"/>
    </xf>
    <xf numFmtId="0" fontId="69" fillId="4" borderId="37" xfId="0" applyFont="1" applyFill="1" applyBorder="1" applyAlignment="1" applyProtection="1">
      <alignment horizontal="center" vertical="center" shrinkToFit="1"/>
      <protection locked="0"/>
    </xf>
    <xf numFmtId="0" fontId="6" fillId="0" borderId="31" xfId="0" applyFont="1" applyBorder="1" applyAlignment="1">
      <alignment horizontal="left"/>
    </xf>
    <xf numFmtId="0" fontId="6" fillId="0" borderId="1" xfId="0" applyFont="1" applyBorder="1" applyAlignment="1">
      <alignment horizontal="left"/>
    </xf>
    <xf numFmtId="0" fontId="6" fillId="0" borderId="98" xfId="0" applyFont="1" applyBorder="1" applyAlignment="1">
      <alignment horizontal="left"/>
    </xf>
    <xf numFmtId="0" fontId="6" fillId="0" borderId="97" xfId="0" applyFont="1" applyBorder="1" applyAlignment="1">
      <alignment horizontal="center" vertical="center"/>
    </xf>
    <xf numFmtId="0" fontId="6" fillId="0" borderId="1" xfId="0" applyFont="1" applyBorder="1" applyAlignment="1">
      <alignment horizontal="center" vertical="center"/>
    </xf>
    <xf numFmtId="0" fontId="6" fillId="0" borderId="98" xfId="0" applyFont="1" applyBorder="1" applyAlignment="1">
      <alignment horizontal="center" vertical="center"/>
    </xf>
    <xf numFmtId="0" fontId="6" fillId="0" borderId="61" xfId="0" applyFont="1" applyBorder="1" applyAlignment="1">
      <alignment horizontal="center"/>
    </xf>
    <xf numFmtId="0" fontId="6" fillId="0" borderId="1" xfId="0" applyFont="1" applyBorder="1" applyAlignment="1">
      <alignment horizontal="center"/>
    </xf>
    <xf numFmtId="0" fontId="6" fillId="0" borderId="34" xfId="0" applyFont="1" applyBorder="1" applyAlignment="1">
      <alignment horizontal="center"/>
    </xf>
    <xf numFmtId="0" fontId="6" fillId="0" borderId="97" xfId="0" applyFont="1" applyBorder="1" applyAlignment="1">
      <alignment horizontal="center"/>
    </xf>
    <xf numFmtId="0" fontId="6" fillId="0" borderId="2" xfId="0" applyFont="1" applyBorder="1" applyAlignment="1">
      <alignment horizontal="center"/>
    </xf>
    <xf numFmtId="0" fontId="6" fillId="0" borderId="97" xfId="0" applyFont="1" applyBorder="1" applyAlignment="1">
      <alignment horizontal="left"/>
    </xf>
    <xf numFmtId="0" fontId="69" fillId="4" borderId="14" xfId="0" applyFont="1" applyFill="1" applyBorder="1" applyAlignment="1" applyProtection="1">
      <alignment horizontal="center" vertical="center" shrinkToFit="1"/>
      <protection locked="0"/>
    </xf>
    <xf numFmtId="0" fontId="6" fillId="0" borderId="33" xfId="21" applyFont="1" applyBorder="1" applyAlignment="1">
      <alignment horizontal="center" vertical="center"/>
    </xf>
    <xf numFmtId="0" fontId="6" fillId="0" borderId="7" xfId="21" applyFont="1" applyBorder="1" applyAlignment="1">
      <alignment horizontal="center" vertical="center"/>
    </xf>
    <xf numFmtId="0" fontId="6" fillId="0" borderId="8" xfId="21" applyFont="1" applyBorder="1" applyAlignment="1">
      <alignment horizontal="center" vertical="center"/>
    </xf>
    <xf numFmtId="0" fontId="6" fillId="0" borderId="27" xfId="0" applyFont="1" applyBorder="1" applyAlignment="1">
      <alignment horizontal="center" vertical="center"/>
    </xf>
    <xf numFmtId="0" fontId="6" fillId="0" borderId="27" xfId="0" applyFont="1" applyBorder="1" applyAlignment="1">
      <alignment horizontal="left"/>
    </xf>
    <xf numFmtId="0" fontId="0" fillId="0" borderId="27" xfId="0" applyBorder="1" applyAlignment="1">
      <alignment horizontal="center"/>
    </xf>
    <xf numFmtId="0" fontId="6" fillId="0" borderId="33"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164" fontId="2" fillId="4" borderId="33" xfId="8" applyNumberFormat="1" applyFont="1" applyFill="1" applyBorder="1" applyAlignment="1" applyProtection="1">
      <alignment horizontal="right" shrinkToFit="1"/>
      <protection locked="0"/>
    </xf>
    <xf numFmtId="164" fontId="2" fillId="4" borderId="7" xfId="8" applyNumberFormat="1" applyFont="1" applyFill="1" applyBorder="1" applyAlignment="1" applyProtection="1">
      <alignment horizontal="right" shrinkToFit="1"/>
      <protection locked="0"/>
    </xf>
    <xf numFmtId="164" fontId="2" fillId="4" borderId="96" xfId="8" applyNumberFormat="1" applyFont="1" applyFill="1" applyBorder="1" applyAlignment="1" applyProtection="1">
      <alignment horizontal="right" shrinkToFit="1"/>
      <protection locked="0"/>
    </xf>
    <xf numFmtId="164" fontId="2" fillId="4" borderId="27" xfId="8" applyNumberFormat="1" applyFont="1" applyFill="1" applyBorder="1" applyAlignment="1" applyProtection="1">
      <alignment horizontal="right" shrinkToFit="1"/>
      <protection locked="0"/>
    </xf>
    <xf numFmtId="166" fontId="69" fillId="4" borderId="81" xfId="0" applyNumberFormat="1" applyFont="1" applyFill="1" applyBorder="1" applyAlignment="1" applyProtection="1">
      <alignment horizontal="center" vertical="center" shrinkToFit="1"/>
      <protection locked="0"/>
    </xf>
    <xf numFmtId="166" fontId="69" fillId="4" borderId="6" xfId="0" applyNumberFormat="1" applyFont="1" applyFill="1" applyBorder="1" applyAlignment="1" applyProtection="1">
      <alignment horizontal="center" vertical="center" shrinkToFit="1"/>
      <protection locked="0"/>
    </xf>
    <xf numFmtId="166" fontId="69" fillId="4" borderId="14" xfId="0" applyNumberFormat="1" applyFont="1" applyFill="1" applyBorder="1" applyAlignment="1" applyProtection="1">
      <alignment horizontal="center" vertical="center" shrinkToFit="1"/>
      <protection locked="0"/>
    </xf>
    <xf numFmtId="0" fontId="6" fillId="0" borderId="98" xfId="0" applyFont="1" applyBorder="1" applyAlignment="1">
      <alignment horizontal="center"/>
    </xf>
    <xf numFmtId="2" fontId="69" fillId="4" borderId="16" xfId="0" applyNumberFormat="1" applyFont="1" applyFill="1" applyBorder="1" applyAlignment="1" applyProtection="1">
      <alignment horizontal="center" vertical="center" shrinkToFit="1"/>
      <protection locked="0"/>
    </xf>
    <xf numFmtId="2" fontId="69" fillId="4" borderId="6" xfId="0" applyNumberFormat="1" applyFont="1" applyFill="1" applyBorder="1" applyAlignment="1" applyProtection="1">
      <alignment horizontal="center" vertical="center" shrinkToFit="1"/>
      <protection locked="0"/>
    </xf>
    <xf numFmtId="2" fontId="69" fillId="4" borderId="5" xfId="0" applyNumberFormat="1" applyFont="1" applyFill="1" applyBorder="1" applyAlignment="1" applyProtection="1">
      <alignment horizontal="center" vertical="center" shrinkToFit="1"/>
      <protection locked="0"/>
    </xf>
    <xf numFmtId="0" fontId="6" fillId="0" borderId="31" xfId="22" applyBorder="1" applyAlignment="1">
      <alignment horizontal="center"/>
    </xf>
    <xf numFmtId="0" fontId="6" fillId="0" borderId="1" xfId="22" applyBorder="1" applyAlignment="1">
      <alignment horizontal="center"/>
    </xf>
    <xf numFmtId="0" fontId="6" fillId="0" borderId="2" xfId="22" applyBorder="1" applyAlignment="1">
      <alignment horizontal="center"/>
    </xf>
    <xf numFmtId="38" fontId="69" fillId="4" borderId="38" xfId="0" applyNumberFormat="1" applyFont="1" applyFill="1" applyBorder="1" applyAlignment="1" applyProtection="1">
      <alignment horizontal="center" vertical="center" shrinkToFit="1"/>
      <protection locked="0"/>
    </xf>
    <xf numFmtId="38" fontId="69" fillId="4" borderId="6" xfId="0" applyNumberFormat="1" applyFont="1" applyFill="1" applyBorder="1" applyAlignment="1" applyProtection="1">
      <alignment horizontal="center" vertical="center" shrinkToFit="1"/>
      <protection locked="0"/>
    </xf>
    <xf numFmtId="0" fontId="69" fillId="4" borderId="33" xfId="0" applyFont="1" applyFill="1" applyBorder="1" applyAlignment="1" applyProtection="1">
      <alignment horizontal="center" shrinkToFit="1"/>
      <protection locked="0"/>
    </xf>
    <xf numFmtId="0" fontId="69" fillId="4" borderId="7" xfId="0" applyFont="1" applyFill="1" applyBorder="1" applyAlignment="1" applyProtection="1">
      <alignment horizontal="center" shrinkToFit="1"/>
      <protection locked="0"/>
    </xf>
    <xf numFmtId="0" fontId="69" fillId="4" borderId="25" xfId="0" applyFont="1" applyFill="1" applyBorder="1" applyAlignment="1" applyProtection="1">
      <alignment horizontal="center" shrinkToFit="1"/>
      <protection locked="0"/>
    </xf>
    <xf numFmtId="10" fontId="2" fillId="4" borderId="87" xfId="0" applyNumberFormat="1" applyFont="1" applyFill="1" applyBorder="1" applyAlignment="1" applyProtection="1">
      <alignment shrinkToFit="1"/>
      <protection locked="0"/>
    </xf>
    <xf numFmtId="10" fontId="2" fillId="4" borderId="96" xfId="0" applyNumberFormat="1" applyFont="1" applyFill="1" applyBorder="1" applyAlignment="1" applyProtection="1">
      <alignment shrinkToFit="1"/>
      <protection locked="0"/>
    </xf>
    <xf numFmtId="0" fontId="6" fillId="0" borderId="46" xfId="0" applyFont="1" applyBorder="1" applyAlignment="1">
      <alignment horizontal="center"/>
    </xf>
    <xf numFmtId="0" fontId="6" fillId="0" borderId="49" xfId="0" applyFont="1" applyBorder="1" applyAlignment="1">
      <alignment horizontal="center"/>
    </xf>
    <xf numFmtId="0" fontId="6" fillId="3" borderId="33" xfId="0" applyFont="1" applyFill="1" applyBorder="1" applyAlignment="1">
      <alignment horizontal="center"/>
    </xf>
    <xf numFmtId="0" fontId="6" fillId="3" borderId="7" xfId="0" applyFont="1" applyFill="1" applyBorder="1" applyAlignment="1">
      <alignment horizontal="center"/>
    </xf>
    <xf numFmtId="0" fontId="6" fillId="3" borderId="25" xfId="0" applyFont="1" applyFill="1" applyBorder="1" applyAlignment="1">
      <alignment horizontal="center"/>
    </xf>
    <xf numFmtId="0" fontId="6" fillId="0" borderId="46" xfId="21" applyFont="1" applyBorder="1" applyAlignment="1">
      <alignment horizontal="center"/>
    </xf>
    <xf numFmtId="164" fontId="2" fillId="4" borderId="33" xfId="23" applyNumberFormat="1" applyFont="1" applyFill="1" applyBorder="1" applyAlignment="1" applyProtection="1">
      <alignment horizontal="right" shrinkToFit="1"/>
      <protection locked="0"/>
    </xf>
    <xf numFmtId="164" fontId="2" fillId="4" borderId="7" xfId="23" applyNumberFormat="1" applyFont="1" applyFill="1" applyBorder="1" applyAlignment="1" applyProtection="1">
      <alignment horizontal="right" shrinkToFit="1"/>
      <protection locked="0"/>
    </xf>
    <xf numFmtId="164" fontId="2" fillId="4" borderId="96" xfId="23" applyNumberFormat="1" applyFont="1" applyFill="1" applyBorder="1" applyAlignment="1" applyProtection="1">
      <alignment horizontal="right" shrinkToFit="1"/>
      <protection locked="0"/>
    </xf>
    <xf numFmtId="0" fontId="6" fillId="0" borderId="0" xfId="23" applyFont="1" applyAlignment="1">
      <alignment horizontal="left"/>
    </xf>
    <xf numFmtId="0" fontId="68" fillId="4" borderId="7" xfId="0" applyFont="1" applyFill="1" applyBorder="1" applyAlignment="1" applyProtection="1">
      <alignment shrinkToFit="1"/>
      <protection locked="0"/>
    </xf>
    <xf numFmtId="0" fontId="68" fillId="4" borderId="96" xfId="0" applyFont="1" applyFill="1" applyBorder="1" applyAlignment="1" applyProtection="1">
      <alignment shrinkToFit="1"/>
      <protection locked="0"/>
    </xf>
    <xf numFmtId="0" fontId="6" fillId="0" borderId="97" xfId="22" applyBorder="1" applyAlignment="1">
      <alignment horizontal="center" vertical="center"/>
    </xf>
    <xf numFmtId="0" fontId="6" fillId="0" borderId="1" xfId="22" applyBorder="1" applyAlignment="1">
      <alignment horizontal="center" vertical="center"/>
    </xf>
    <xf numFmtId="0" fontId="6" fillId="0" borderId="98" xfId="22" applyBorder="1" applyAlignment="1">
      <alignment horizontal="center" vertical="center"/>
    </xf>
    <xf numFmtId="0" fontId="93" fillId="0" borderId="15" xfId="0" applyFont="1" applyBorder="1" applyAlignment="1">
      <alignment horizontal="left" vertical="center"/>
    </xf>
    <xf numFmtId="0" fontId="93" fillId="0" borderId="0" xfId="0" applyFont="1" applyAlignment="1">
      <alignment horizontal="left" vertical="center"/>
    </xf>
    <xf numFmtId="0" fontId="93" fillId="0" borderId="10" xfId="0" applyFont="1" applyBorder="1" applyAlignment="1">
      <alignment horizontal="left" vertical="center"/>
    </xf>
    <xf numFmtId="166" fontId="3" fillId="4" borderId="81" xfId="0" applyNumberFormat="1" applyFont="1" applyFill="1" applyBorder="1" applyAlignment="1" applyProtection="1">
      <alignment horizontal="center" vertical="center" shrinkToFit="1"/>
      <protection locked="0"/>
    </xf>
    <xf numFmtId="164" fontId="2" fillId="4" borderId="87" xfId="8" applyNumberFormat="1" applyFont="1" applyFill="1" applyBorder="1" applyAlignment="1" applyProtection="1">
      <alignment horizontal="right" shrinkToFit="1"/>
      <protection locked="0"/>
    </xf>
    <xf numFmtId="0" fontId="6" fillId="0" borderId="25" xfId="0" applyFont="1" applyBorder="1" applyAlignment="1">
      <alignment horizontal="center" vertical="center"/>
    </xf>
    <xf numFmtId="0" fontId="12" fillId="0" borderId="0" xfId="0" applyFont="1" applyAlignment="1">
      <alignment horizontal="left"/>
    </xf>
    <xf numFmtId="0" fontId="69" fillId="4" borderId="33" xfId="23" applyFont="1" applyFill="1" applyBorder="1" applyAlignment="1" applyProtection="1">
      <alignment horizontal="center" shrinkToFit="1"/>
      <protection locked="0"/>
    </xf>
    <xf numFmtId="0" fontId="69" fillId="4" borderId="25" xfId="23" applyFont="1" applyFill="1" applyBorder="1" applyAlignment="1" applyProtection="1">
      <alignment horizontal="center" shrinkToFit="1"/>
      <protection locked="0"/>
    </xf>
    <xf numFmtId="0" fontId="6" fillId="0" borderId="0" xfId="0" applyFont="1" applyAlignment="1">
      <alignment horizontal="left" wrapText="1"/>
    </xf>
    <xf numFmtId="0" fontId="20" fillId="4" borderId="15" xfId="0" applyFont="1" applyFill="1" applyBorder="1" applyAlignment="1" applyProtection="1">
      <alignment horizontal="center" vertical="center" wrapText="1"/>
      <protection locked="0"/>
    </xf>
    <xf numFmtId="0" fontId="20" fillId="4" borderId="0" xfId="0" applyFont="1" applyFill="1" applyAlignment="1" applyProtection="1">
      <alignment horizontal="center" vertical="center" wrapText="1"/>
      <protection locked="0"/>
    </xf>
    <xf numFmtId="0" fontId="20" fillId="4" borderId="10" xfId="0" applyFont="1" applyFill="1" applyBorder="1" applyAlignment="1" applyProtection="1">
      <alignment horizontal="center" vertical="center" wrapText="1"/>
      <protection locked="0"/>
    </xf>
    <xf numFmtId="0" fontId="20" fillId="4" borderId="16" xfId="0" applyFont="1" applyFill="1" applyBorder="1" applyAlignment="1" applyProtection="1">
      <alignment horizontal="center" vertical="center" wrapText="1"/>
      <protection locked="0"/>
    </xf>
    <xf numFmtId="0" fontId="20" fillId="4" borderId="6" xfId="0" applyFont="1" applyFill="1" applyBorder="1" applyAlignment="1" applyProtection="1">
      <alignment horizontal="center" vertical="center" wrapText="1"/>
      <protection locked="0"/>
    </xf>
    <xf numFmtId="0" fontId="20" fillId="4" borderId="37" xfId="0" applyFont="1" applyFill="1" applyBorder="1" applyAlignment="1" applyProtection="1">
      <alignment horizontal="center" vertical="center" wrapText="1"/>
      <protection locked="0"/>
    </xf>
    <xf numFmtId="0" fontId="6" fillId="0" borderId="34" xfId="0" applyFont="1" applyBorder="1" applyAlignment="1">
      <alignment horizontal="center" vertical="center"/>
    </xf>
    <xf numFmtId="0" fontId="6" fillId="0" borderId="0" xfId="0" applyFont="1" applyAlignment="1">
      <alignment horizontal="left"/>
    </xf>
    <xf numFmtId="164" fontId="0" fillId="4" borderId="33" xfId="0" applyNumberFormat="1" applyFill="1" applyBorder="1" applyAlignment="1" applyProtection="1">
      <alignment horizontal="right"/>
      <protection locked="0"/>
    </xf>
    <xf numFmtId="164" fontId="0" fillId="4" borderId="7" xfId="0" applyNumberFormat="1" applyFill="1" applyBorder="1" applyAlignment="1" applyProtection="1">
      <alignment horizontal="right"/>
      <protection locked="0"/>
    </xf>
    <xf numFmtId="1" fontId="2" fillId="4" borderId="33" xfId="0" applyNumberFormat="1" applyFont="1" applyFill="1" applyBorder="1" applyAlignment="1" applyProtection="1">
      <alignment horizontal="center" shrinkToFit="1"/>
      <protection locked="0"/>
    </xf>
    <xf numFmtId="1" fontId="2" fillId="4" borderId="7" xfId="0" applyNumberFormat="1" applyFont="1" applyFill="1" applyBorder="1" applyAlignment="1" applyProtection="1">
      <alignment horizontal="center" shrinkToFit="1"/>
      <protection locked="0"/>
    </xf>
    <xf numFmtId="1" fontId="2" fillId="4" borderId="96" xfId="0" applyNumberFormat="1" applyFont="1" applyFill="1" applyBorder="1" applyAlignment="1" applyProtection="1">
      <alignment horizontal="center" shrinkToFit="1"/>
      <protection locked="0"/>
    </xf>
    <xf numFmtId="0" fontId="69" fillId="4" borderId="73" xfId="77" applyFont="1" applyFill="1" applyBorder="1" applyAlignment="1" applyProtection="1">
      <alignment horizontal="center" vertical="center" shrinkToFit="1"/>
      <protection locked="0"/>
    </xf>
    <xf numFmtId="0" fontId="69" fillId="4" borderId="57" xfId="77" applyFont="1" applyFill="1" applyBorder="1" applyAlignment="1" applyProtection="1">
      <alignment horizontal="center" vertical="center" shrinkToFit="1"/>
      <protection locked="0"/>
    </xf>
    <xf numFmtId="0" fontId="69" fillId="4" borderId="93" xfId="77" applyFont="1" applyFill="1" applyBorder="1" applyAlignment="1" applyProtection="1">
      <alignment horizontal="center" vertical="center" shrinkToFit="1"/>
      <protection locked="0"/>
    </xf>
    <xf numFmtId="0" fontId="69" fillId="4" borderId="92" xfId="77" applyFont="1" applyFill="1" applyBorder="1" applyAlignment="1" applyProtection="1">
      <alignment horizontal="center" vertical="center" shrinkToFit="1"/>
      <protection locked="0"/>
    </xf>
    <xf numFmtId="0" fontId="69" fillId="4" borderId="18" xfId="77" applyFont="1" applyFill="1" applyBorder="1" applyAlignment="1" applyProtection="1">
      <alignment horizontal="center" vertical="center" shrinkToFit="1"/>
      <protection locked="0"/>
    </xf>
    <xf numFmtId="0" fontId="69" fillId="4" borderId="7" xfId="77" applyFont="1" applyFill="1" applyBorder="1" applyAlignment="1" applyProtection="1">
      <alignment horizontal="center" vertical="center" shrinkToFit="1"/>
      <protection locked="0"/>
    </xf>
    <xf numFmtId="0" fontId="69" fillId="4" borderId="96" xfId="77" applyFont="1" applyFill="1" applyBorder="1" applyAlignment="1" applyProtection="1">
      <alignment horizontal="center" vertical="center" shrinkToFit="1"/>
      <protection locked="0"/>
    </xf>
    <xf numFmtId="0" fontId="69" fillId="4" borderId="87" xfId="77" applyFont="1" applyFill="1" applyBorder="1" applyAlignment="1" applyProtection="1">
      <alignment horizontal="center" vertical="center" shrinkToFit="1"/>
      <protection locked="0"/>
    </xf>
    <xf numFmtId="0" fontId="6" fillId="0" borderId="42" xfId="22" applyBorder="1" applyAlignment="1">
      <alignment horizontal="center" vertical="center"/>
    </xf>
    <xf numFmtId="0" fontId="6" fillId="0" borderId="43" xfId="22" applyBorder="1" applyAlignment="1">
      <alignment horizontal="center" vertical="center"/>
    </xf>
    <xf numFmtId="0" fontId="6" fillId="0" borderId="44" xfId="22" applyBorder="1" applyAlignment="1">
      <alignment horizontal="center" vertical="center"/>
    </xf>
    <xf numFmtId="0" fontId="69" fillId="4" borderId="38" xfId="0" applyFont="1" applyFill="1" applyBorder="1" applyAlignment="1" applyProtection="1">
      <alignment horizontal="center" vertical="center" shrinkToFit="1"/>
      <protection locked="0"/>
    </xf>
    <xf numFmtId="0" fontId="0" fillId="0" borderId="6"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69" fillId="4" borderId="80" xfId="0"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4" xfId="0" applyBorder="1" applyAlignment="1">
      <alignment horizontal="center" vertical="center" wrapText="1"/>
    </xf>
    <xf numFmtId="0" fontId="0" fillId="0" borderId="80" xfId="0" applyBorder="1" applyAlignment="1">
      <alignment horizontal="center" vertical="center" wrapText="1"/>
    </xf>
    <xf numFmtId="0" fontId="0" fillId="0" borderId="81"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14" fontId="69" fillId="4" borderId="81" xfId="0" applyNumberFormat="1" applyFont="1" applyFill="1" applyBorder="1" applyAlignment="1" applyProtection="1">
      <alignment horizontal="center" vertical="center" shrinkToFit="1"/>
      <protection locked="0"/>
    </xf>
    <xf numFmtId="14" fontId="69" fillId="4" borderId="6" xfId="0" applyNumberFormat="1" applyFont="1" applyFill="1" applyBorder="1" applyAlignment="1" applyProtection="1">
      <alignment horizontal="center" vertical="center" shrinkToFit="1"/>
      <protection locked="0"/>
    </xf>
    <xf numFmtId="14" fontId="69" fillId="4" borderId="14" xfId="0" applyNumberFormat="1" applyFont="1" applyFill="1" applyBorder="1" applyAlignment="1" applyProtection="1">
      <alignment horizontal="center" vertical="center" shrinkToFit="1"/>
      <protection locked="0"/>
    </xf>
    <xf numFmtId="38" fontId="69" fillId="4" borderId="16" xfId="0" applyNumberFormat="1" applyFont="1" applyFill="1" applyBorder="1" applyAlignment="1" applyProtection="1">
      <alignment horizontal="center" vertical="center" shrinkToFit="1"/>
      <protection locked="0"/>
    </xf>
    <xf numFmtId="38" fontId="69" fillId="4" borderId="5" xfId="0" applyNumberFormat="1" applyFont="1" applyFill="1" applyBorder="1" applyAlignment="1" applyProtection="1">
      <alignment horizontal="center" vertical="center" shrinkToFit="1"/>
      <protection locked="0"/>
    </xf>
    <xf numFmtId="0" fontId="6" fillId="0" borderId="0" xfId="0" applyFont="1" applyAlignment="1">
      <alignment horizontal="center" vertical="center"/>
    </xf>
    <xf numFmtId="0" fontId="6" fillId="0" borderId="3" xfId="0" applyFont="1" applyBorder="1" applyAlignment="1">
      <alignment horizontal="center" vertical="center"/>
    </xf>
    <xf numFmtId="0" fontId="6" fillId="0" borderId="61" xfId="0" applyFont="1" applyBorder="1" applyAlignment="1">
      <alignment horizontal="left"/>
    </xf>
    <xf numFmtId="0" fontId="6" fillId="0" borderId="34" xfId="0" applyFont="1" applyBorder="1" applyAlignment="1">
      <alignment horizontal="left"/>
    </xf>
    <xf numFmtId="0" fontId="69" fillId="4" borderId="19" xfId="0" applyFont="1" applyFill="1" applyBorder="1" applyAlignment="1" applyProtection="1">
      <alignment horizontal="left" shrinkToFit="1"/>
      <protection locked="0"/>
    </xf>
    <xf numFmtId="0" fontId="69" fillId="0" borderId="12" xfId="0" applyFont="1" applyBorder="1" applyAlignment="1" applyProtection="1">
      <alignment horizontal="left" shrinkToFit="1"/>
      <protection locked="0"/>
    </xf>
    <xf numFmtId="0" fontId="69" fillId="0" borderId="12" xfId="0" applyFont="1" applyBorder="1" applyAlignment="1" applyProtection="1">
      <alignment shrinkToFit="1"/>
      <protection locked="0"/>
    </xf>
    <xf numFmtId="0" fontId="69" fillId="0" borderId="13" xfId="0" applyFont="1" applyBorder="1" applyAlignment="1" applyProtection="1">
      <alignment shrinkToFit="1"/>
      <protection locked="0"/>
    </xf>
    <xf numFmtId="0" fontId="69" fillId="4" borderId="87" xfId="0" applyFont="1" applyFill="1" applyBorder="1" applyAlignment="1" applyProtection="1">
      <alignment horizontal="center" vertical="center" shrinkToFit="1"/>
      <protection locked="0"/>
    </xf>
    <xf numFmtId="0" fontId="69" fillId="4" borderId="7" xfId="0" applyFont="1" applyFill="1" applyBorder="1" applyAlignment="1" applyProtection="1">
      <alignment horizontal="center" vertical="center" shrinkToFit="1"/>
      <protection locked="0"/>
    </xf>
    <xf numFmtId="0" fontId="69" fillId="4" borderId="96" xfId="0" applyFont="1" applyFill="1" applyBorder="1" applyAlignment="1" applyProtection="1">
      <alignment horizontal="center" vertical="center" shrinkToFit="1"/>
      <protection locked="0"/>
    </xf>
    <xf numFmtId="0" fontId="6" fillId="0" borderId="75" xfId="22" applyBorder="1" applyAlignment="1">
      <alignment horizontal="center" vertical="center"/>
    </xf>
    <xf numFmtId="0" fontId="6" fillId="0" borderId="95" xfId="22" applyBorder="1" applyAlignment="1">
      <alignment horizontal="center" vertical="center"/>
    </xf>
    <xf numFmtId="0" fontId="6" fillId="0" borderId="2" xfId="0" applyFont="1" applyBorder="1" applyAlignment="1">
      <alignment horizontal="left"/>
    </xf>
    <xf numFmtId="0" fontId="6" fillId="0" borderId="97" xfId="0" applyFont="1" applyBorder="1"/>
    <xf numFmtId="0" fontId="6" fillId="0" borderId="1" xfId="0" applyFont="1" applyBorder="1"/>
    <xf numFmtId="0" fontId="6" fillId="0" borderId="98" xfId="0" applyFont="1" applyBorder="1"/>
    <xf numFmtId="0" fontId="15" fillId="0" borderId="97" xfId="0" applyFont="1" applyBorder="1" applyAlignment="1">
      <alignment horizontal="left"/>
    </xf>
    <xf numFmtId="0" fontId="15" fillId="0" borderId="1" xfId="0" applyFont="1" applyBorder="1" applyAlignment="1">
      <alignment horizontal="left"/>
    </xf>
    <xf numFmtId="0" fontId="15" fillId="0" borderId="2" xfId="0" applyFont="1" applyBorder="1" applyAlignment="1">
      <alignment horizontal="left"/>
    </xf>
    <xf numFmtId="0" fontId="10" fillId="0" borderId="9" xfId="0" applyFont="1" applyBorder="1" applyAlignment="1">
      <alignment horizontal="center"/>
    </xf>
    <xf numFmtId="0" fontId="10" fillId="0" borderId="10" xfId="0" applyFont="1" applyBorder="1" applyAlignment="1">
      <alignment horizontal="center"/>
    </xf>
    <xf numFmtId="0" fontId="6" fillId="0" borderId="9" xfId="0" applyFont="1" applyBorder="1" applyAlignment="1">
      <alignment horizontal="left"/>
    </xf>
    <xf numFmtId="0" fontId="6" fillId="0" borderId="6" xfId="21" applyFont="1" applyBorder="1" applyAlignment="1">
      <alignment horizontal="center"/>
    </xf>
    <xf numFmtId="0" fontId="6" fillId="0" borderId="33" xfId="0" applyFont="1" applyBorder="1" applyAlignment="1">
      <alignment horizontal="center"/>
    </xf>
    <xf numFmtId="0" fontId="0" fillId="0" borderId="7" xfId="0" applyBorder="1"/>
    <xf numFmtId="0" fontId="0" fillId="0" borderId="8" xfId="0" applyBorder="1"/>
    <xf numFmtId="0" fontId="6" fillId="0" borderId="7" xfId="0" applyFont="1" applyBorder="1" applyAlignment="1">
      <alignment horizontal="center"/>
    </xf>
    <xf numFmtId="0" fontId="6" fillId="0" borderId="8" xfId="0" applyFont="1" applyBorder="1" applyAlignment="1">
      <alignment horizontal="center"/>
    </xf>
    <xf numFmtId="0" fontId="16" fillId="0" borderId="0" xfId="0" applyFont="1"/>
    <xf numFmtId="0" fontId="16" fillId="0" borderId="3" xfId="0" applyFont="1" applyBorder="1"/>
    <xf numFmtId="0" fontId="61" fillId="0" borderId="9" xfId="0" applyFont="1" applyBorder="1" applyAlignment="1">
      <alignment horizontal="center"/>
    </xf>
    <xf numFmtId="0" fontId="61" fillId="0" borderId="0" xfId="0" applyFont="1" applyAlignment="1">
      <alignment horizontal="center"/>
    </xf>
    <xf numFmtId="0" fontId="61" fillId="0" borderId="10" xfId="0" applyFont="1" applyBorder="1" applyAlignment="1">
      <alignment horizontal="center"/>
    </xf>
    <xf numFmtId="0" fontId="0" fillId="0" borderId="0" xfId="0" applyAlignment="1">
      <alignment horizontal="left"/>
    </xf>
    <xf numFmtId="164" fontId="2" fillId="4" borderId="33" xfId="0" applyNumberFormat="1" applyFont="1" applyFill="1" applyBorder="1" applyAlignment="1" applyProtection="1">
      <alignment horizontal="right" shrinkToFit="1"/>
      <protection locked="0"/>
    </xf>
    <xf numFmtId="164" fontId="2" fillId="4" borderId="7" xfId="0" applyNumberFormat="1" applyFont="1" applyFill="1" applyBorder="1" applyAlignment="1" applyProtection="1">
      <alignment horizontal="right" shrinkToFit="1"/>
      <protection locked="0"/>
    </xf>
    <xf numFmtId="164" fontId="2" fillId="4" borderId="96" xfId="0" applyNumberFormat="1" applyFont="1" applyFill="1" applyBorder="1" applyAlignment="1" applyProtection="1">
      <alignment horizontal="right" shrinkToFit="1"/>
      <protection locked="0"/>
    </xf>
    <xf numFmtId="0" fontId="2" fillId="4" borderId="33" xfId="0" applyFont="1" applyFill="1" applyBorder="1" applyAlignment="1" applyProtection="1">
      <alignment horizontal="center" shrinkToFit="1"/>
      <protection locked="0"/>
    </xf>
    <xf numFmtId="0" fontId="2" fillId="0" borderId="7" xfId="0" applyFont="1" applyBorder="1" applyAlignment="1" applyProtection="1">
      <alignment horizontal="center" shrinkToFit="1"/>
      <protection locked="0"/>
    </xf>
    <xf numFmtId="0" fontId="2" fillId="0" borderId="8" xfId="0" applyFont="1" applyBorder="1" applyAlignment="1" applyProtection="1">
      <alignment horizontal="center" shrinkToFit="1"/>
      <protection locked="0"/>
    </xf>
    <xf numFmtId="0" fontId="2" fillId="4" borderId="7" xfId="0" applyFont="1" applyFill="1" applyBorder="1" applyAlignment="1" applyProtection="1">
      <alignment horizontal="center" shrinkToFit="1"/>
      <protection locked="0"/>
    </xf>
    <xf numFmtId="0" fontId="2" fillId="4" borderId="96" xfId="0" applyFont="1" applyFill="1" applyBorder="1" applyAlignment="1" applyProtection="1">
      <alignment horizontal="center" shrinkToFit="1"/>
      <protection locked="0"/>
    </xf>
    <xf numFmtId="0" fontId="15" fillId="4" borderId="76" xfId="0" applyFont="1" applyFill="1" applyBorder="1" applyAlignment="1" applyProtection="1">
      <alignment horizontal="left" wrapText="1"/>
      <protection locked="0"/>
    </xf>
    <xf numFmtId="0" fontId="15" fillId="4" borderId="21" xfId="0" applyFont="1" applyFill="1" applyBorder="1" applyAlignment="1" applyProtection="1">
      <alignment horizontal="left" wrapText="1"/>
      <protection locked="0"/>
    </xf>
    <xf numFmtId="0" fontId="15" fillId="4" borderId="58" xfId="0" applyFont="1" applyFill="1" applyBorder="1" applyAlignment="1" applyProtection="1">
      <alignment horizontal="left" wrapText="1"/>
      <protection locked="0"/>
    </xf>
    <xf numFmtId="178" fontId="20" fillId="4" borderId="33" xfId="0" applyNumberFormat="1" applyFont="1" applyFill="1" applyBorder="1" applyAlignment="1" applyProtection="1">
      <alignment horizontal="center"/>
      <protection locked="0"/>
    </xf>
    <xf numFmtId="178" fontId="20" fillId="4" borderId="7" xfId="0" applyNumberFormat="1" applyFont="1" applyFill="1" applyBorder="1" applyAlignment="1" applyProtection="1">
      <alignment horizontal="center"/>
      <protection locked="0"/>
    </xf>
    <xf numFmtId="178" fontId="20" fillId="4" borderId="8" xfId="0" applyNumberFormat="1" applyFont="1" applyFill="1" applyBorder="1" applyAlignment="1" applyProtection="1">
      <alignment horizontal="center"/>
      <protection locked="0"/>
    </xf>
    <xf numFmtId="0" fontId="10" fillId="0" borderId="9" xfId="0" applyFont="1" applyBorder="1" applyAlignment="1">
      <alignment horizontal="right" vertical="center"/>
    </xf>
    <xf numFmtId="0" fontId="10" fillId="0" borderId="0" xfId="0" applyFont="1" applyAlignment="1">
      <alignment horizontal="right" vertical="center"/>
    </xf>
    <xf numFmtId="0" fontId="10" fillId="0" borderId="10" xfId="0" applyFont="1" applyBorder="1" applyAlignment="1">
      <alignment horizontal="right" vertical="center"/>
    </xf>
    <xf numFmtId="164" fontId="69" fillId="4" borderId="33" xfId="0" applyNumberFormat="1" applyFont="1" applyFill="1" applyBorder="1" applyAlignment="1" applyProtection="1">
      <alignment horizontal="right" shrinkToFit="1"/>
      <protection locked="0"/>
    </xf>
    <xf numFmtId="164" fontId="69" fillId="4" borderId="7" xfId="0" applyNumberFormat="1" applyFont="1" applyFill="1" applyBorder="1" applyAlignment="1" applyProtection="1">
      <alignment horizontal="right" shrinkToFit="1"/>
      <protection locked="0"/>
    </xf>
    <xf numFmtId="164" fontId="69" fillId="4" borderId="25" xfId="0" applyNumberFormat="1" applyFont="1" applyFill="1" applyBorder="1" applyAlignment="1" applyProtection="1">
      <alignment horizontal="right" shrinkToFit="1"/>
      <protection locked="0"/>
    </xf>
    <xf numFmtId="165" fontId="6" fillId="0" borderId="0" xfId="8" applyNumberFormat="1" applyFont="1" applyAlignment="1">
      <alignment horizontal="right"/>
    </xf>
    <xf numFmtId="165" fontId="6" fillId="0" borderId="4" xfId="8" applyNumberFormat="1" applyFont="1" applyBorder="1" applyAlignment="1">
      <alignment horizontal="right"/>
    </xf>
    <xf numFmtId="0" fontId="2" fillId="4" borderId="8" xfId="0" applyFont="1" applyFill="1" applyBorder="1" applyAlignment="1" applyProtection="1">
      <alignment horizontal="center" shrinkToFit="1"/>
      <protection locked="0"/>
    </xf>
    <xf numFmtId="0" fontId="2" fillId="4" borderId="33" xfId="0" applyFont="1" applyFill="1" applyBorder="1" applyAlignment="1" applyProtection="1">
      <alignment horizontal="left" shrinkToFit="1"/>
      <protection locked="0"/>
    </xf>
    <xf numFmtId="0" fontId="2" fillId="4" borderId="7" xfId="0" applyFont="1" applyFill="1" applyBorder="1" applyAlignment="1" applyProtection="1">
      <alignment horizontal="left" shrinkToFit="1"/>
      <protection locked="0"/>
    </xf>
    <xf numFmtId="0" fontId="2" fillId="4" borderId="8" xfId="0" applyFont="1" applyFill="1" applyBorder="1" applyAlignment="1" applyProtection="1">
      <alignment horizontal="left" shrinkToFit="1"/>
      <protection locked="0"/>
    </xf>
    <xf numFmtId="0" fontId="6" fillId="0" borderId="9" xfId="0" applyFont="1" applyBorder="1"/>
    <xf numFmtId="0" fontId="6" fillId="0" borderId="0" xfId="0" applyFont="1"/>
    <xf numFmtId="0" fontId="6" fillId="0" borderId="4" xfId="0" applyFont="1" applyBorder="1" applyAlignment="1">
      <alignment horizontal="left"/>
    </xf>
    <xf numFmtId="0" fontId="6" fillId="0" borderId="94" xfId="22" applyBorder="1" applyAlignment="1">
      <alignment horizontal="center" vertical="center"/>
    </xf>
    <xf numFmtId="0" fontId="0" fillId="0" borderId="81" xfId="0" applyBorder="1" applyAlignment="1">
      <alignment horizontal="center" vertical="center"/>
    </xf>
    <xf numFmtId="0" fontId="0" fillId="0" borderId="6" xfId="0" applyBorder="1" applyAlignment="1">
      <alignment horizontal="center" vertical="center"/>
    </xf>
    <xf numFmtId="0" fontId="6" fillId="0" borderId="31" xfId="22" applyBorder="1" applyAlignment="1">
      <alignment horizontal="center" vertical="center"/>
    </xf>
    <xf numFmtId="0" fontId="6" fillId="0" borderId="2" xfId="22" applyBorder="1" applyAlignment="1">
      <alignment horizontal="center" vertical="center"/>
    </xf>
    <xf numFmtId="0" fontId="0" fillId="0" borderId="33" xfId="0" applyBorder="1"/>
    <xf numFmtId="0" fontId="6" fillId="0" borderId="31" xfId="22" applyBorder="1"/>
    <xf numFmtId="0" fontId="6" fillId="0" borderId="1" xfId="22" applyBorder="1"/>
    <xf numFmtId="0" fontId="6" fillId="0" borderId="98" xfId="22" applyBorder="1"/>
    <xf numFmtId="0" fontId="69" fillId="4" borderId="16" xfId="0" applyFont="1" applyFill="1" applyBorder="1" applyAlignment="1" applyProtection="1">
      <alignment horizontal="center" vertical="center" shrinkToFit="1"/>
      <protection locked="0"/>
    </xf>
    <xf numFmtId="0" fontId="69" fillId="0" borderId="6" xfId="0" applyFont="1" applyBorder="1" applyAlignment="1" applyProtection="1">
      <alignment horizontal="center" vertical="center" shrinkToFit="1"/>
      <protection locked="0"/>
    </xf>
    <xf numFmtId="0" fontId="69" fillId="0" borderId="37" xfId="0" applyFont="1" applyBorder="1" applyAlignment="1" applyProtection="1">
      <alignment horizontal="center" vertical="center" shrinkToFit="1"/>
      <protection locked="0"/>
    </xf>
    <xf numFmtId="0" fontId="69" fillId="4" borderId="25" xfId="77" applyFont="1" applyFill="1" applyBorder="1" applyAlignment="1" applyProtection="1">
      <alignment horizontal="center" vertical="center" shrinkToFit="1"/>
      <protection locked="0"/>
    </xf>
    <xf numFmtId="0" fontId="69" fillId="0" borderId="5" xfId="0" applyFont="1" applyBorder="1" applyAlignment="1" applyProtection="1">
      <alignment horizontal="center" vertical="center" shrinkToFit="1"/>
      <protection locked="0"/>
    </xf>
    <xf numFmtId="0" fontId="6" fillId="0" borderId="78" xfId="22" applyBorder="1" applyAlignment="1">
      <alignment horizontal="center" vertical="center"/>
    </xf>
    <xf numFmtId="0" fontId="69" fillId="4" borderId="70" xfId="77" applyFont="1" applyFill="1" applyBorder="1" applyAlignment="1" applyProtection="1">
      <alignment horizontal="center" vertical="center" shrinkToFit="1"/>
      <protection locked="0"/>
    </xf>
    <xf numFmtId="0" fontId="69" fillId="4" borderId="92" xfId="0" applyFont="1" applyFill="1" applyBorder="1" applyAlignment="1" applyProtection="1">
      <alignment horizontal="center" vertical="center" shrinkToFit="1"/>
      <protection locked="0"/>
    </xf>
    <xf numFmtId="0" fontId="69" fillId="4" borderId="57" xfId="0" applyFont="1" applyFill="1" applyBorder="1" applyAlignment="1" applyProtection="1">
      <alignment horizontal="center" vertical="center" shrinkToFit="1"/>
      <protection locked="0"/>
    </xf>
    <xf numFmtId="0" fontId="69" fillId="4" borderId="93" xfId="0" applyFont="1" applyFill="1" applyBorder="1" applyAlignment="1" applyProtection="1">
      <alignment horizontal="center" vertical="center" shrinkToFit="1"/>
      <protection locked="0"/>
    </xf>
    <xf numFmtId="0" fontId="6" fillId="0" borderId="31" xfId="0" applyFont="1" applyBorder="1"/>
    <xf numFmtId="0" fontId="0" fillId="0" borderId="1" xfId="0" applyBorder="1"/>
    <xf numFmtId="0" fontId="0" fillId="0" borderId="34" xfId="0" applyBorder="1"/>
    <xf numFmtId="167" fontId="69" fillId="4" borderId="81" xfId="0" applyNumberFormat="1" applyFont="1" applyFill="1" applyBorder="1" applyAlignment="1" applyProtection="1">
      <alignment horizontal="center" vertical="center" shrinkToFit="1"/>
      <protection locked="0"/>
    </xf>
    <xf numFmtId="167" fontId="69" fillId="4" borderId="6" xfId="0" applyNumberFormat="1" applyFont="1" applyFill="1" applyBorder="1" applyAlignment="1" applyProtection="1">
      <alignment horizontal="center" vertical="center" shrinkToFit="1"/>
      <protection locked="0"/>
    </xf>
    <xf numFmtId="167" fontId="69" fillId="4" borderId="5" xfId="0" applyNumberFormat="1" applyFont="1" applyFill="1" applyBorder="1" applyAlignment="1" applyProtection="1">
      <alignment horizontal="center" vertical="center" shrinkToFit="1"/>
      <protection locked="0"/>
    </xf>
    <xf numFmtId="0" fontId="2" fillId="4" borderId="9" xfId="0" applyFont="1" applyFill="1" applyBorder="1" applyAlignment="1" applyProtection="1">
      <alignment horizontal="center" vertical="center" wrapText="1" shrinkToFit="1"/>
      <protection locked="0"/>
    </xf>
    <xf numFmtId="0" fontId="69" fillId="4" borderId="0" xfId="0" applyFont="1" applyFill="1" applyAlignment="1" applyProtection="1">
      <alignment horizontal="center" vertical="center" wrapText="1" shrinkToFit="1"/>
      <protection locked="0"/>
    </xf>
    <xf numFmtId="0" fontId="69" fillId="4" borderId="3" xfId="0" applyFont="1" applyFill="1" applyBorder="1" applyAlignment="1" applyProtection="1">
      <alignment horizontal="center" vertical="center" wrapText="1" shrinkToFit="1"/>
      <protection locked="0"/>
    </xf>
    <xf numFmtId="0" fontId="69" fillId="4" borderId="9" xfId="0" applyFont="1" applyFill="1" applyBorder="1" applyAlignment="1" applyProtection="1">
      <alignment horizontal="center" vertical="center" wrapText="1" shrinkToFit="1"/>
      <protection locked="0"/>
    </xf>
    <xf numFmtId="0" fontId="69" fillId="4" borderId="38" xfId="0" applyFont="1" applyFill="1" applyBorder="1" applyAlignment="1" applyProtection="1">
      <alignment horizontal="center" vertical="center" wrapText="1" shrinkToFit="1"/>
      <protection locked="0"/>
    </xf>
    <xf numFmtId="0" fontId="69" fillId="4" borderId="6" xfId="0" applyFont="1" applyFill="1" applyBorder="1" applyAlignment="1" applyProtection="1">
      <alignment horizontal="center" vertical="center" wrapText="1" shrinkToFit="1"/>
      <protection locked="0"/>
    </xf>
    <xf numFmtId="0" fontId="69" fillId="4" borderId="14" xfId="0" applyFont="1" applyFill="1" applyBorder="1" applyAlignment="1" applyProtection="1">
      <alignment horizontal="center" vertical="center" wrapText="1" shrinkToFit="1"/>
      <protection locked="0"/>
    </xf>
    <xf numFmtId="0" fontId="69" fillId="4" borderId="12" xfId="0" applyFont="1" applyFill="1" applyBorder="1" applyAlignment="1" applyProtection="1">
      <alignment horizontal="left" shrinkToFit="1"/>
      <protection locked="0"/>
    </xf>
    <xf numFmtId="0" fontId="69" fillId="4" borderId="13" xfId="0" applyFont="1" applyFill="1" applyBorder="1" applyAlignment="1" applyProtection="1">
      <alignment horizontal="left" shrinkToFit="1"/>
      <protection locked="0"/>
    </xf>
    <xf numFmtId="0" fontId="6" fillId="0" borderId="61" xfId="22" applyBorder="1" applyAlignment="1">
      <alignment horizontal="center"/>
    </xf>
    <xf numFmtId="0" fontId="6" fillId="0" borderId="98" xfId="22" applyBorder="1" applyAlignment="1">
      <alignment horizontal="center"/>
    </xf>
    <xf numFmtId="0" fontId="0" fillId="0" borderId="0" xfId="0" applyAlignment="1">
      <alignment horizontal="center"/>
    </xf>
    <xf numFmtId="3" fontId="26" fillId="4" borderId="27" xfId="0" applyNumberFormat="1" applyFont="1" applyFill="1" applyBorder="1" applyAlignment="1" applyProtection="1">
      <alignment horizontal="center" vertical="center" shrinkToFit="1"/>
      <protection locked="0"/>
    </xf>
    <xf numFmtId="3" fontId="0" fillId="4" borderId="27" xfId="0" applyNumberFormat="1" applyFill="1" applyBorder="1" applyAlignment="1" applyProtection="1">
      <alignment horizontal="center" vertical="center" shrinkToFit="1"/>
      <protection locked="0"/>
    </xf>
    <xf numFmtId="0" fontId="0" fillId="4" borderId="27" xfId="0" applyFill="1" applyBorder="1" applyAlignment="1" applyProtection="1">
      <alignment horizontal="center" vertical="center" shrinkToFit="1"/>
      <protection locked="0"/>
    </xf>
    <xf numFmtId="0" fontId="0" fillId="4" borderId="28" xfId="0" applyFill="1" applyBorder="1" applyAlignment="1" applyProtection="1">
      <alignment horizontal="center" vertical="center" shrinkToFit="1"/>
      <protection locked="0"/>
    </xf>
    <xf numFmtId="0" fontId="26" fillId="4" borderId="27" xfId="0" applyFont="1" applyFill="1" applyBorder="1" applyAlignment="1" applyProtection="1">
      <alignment horizontal="center" vertical="center" shrinkToFit="1"/>
      <protection locked="0"/>
    </xf>
    <xf numFmtId="0" fontId="10" fillId="0" borderId="22" xfId="0" applyFont="1" applyBorder="1" applyAlignment="1" applyProtection="1">
      <alignment horizontal="right" vertical="center"/>
      <protection hidden="1"/>
    </xf>
    <xf numFmtId="0" fontId="10" fillId="0" borderId="17" xfId="0" applyFont="1" applyBorder="1" applyAlignment="1" applyProtection="1">
      <alignment horizontal="right" vertical="center"/>
      <protection hidden="1"/>
    </xf>
    <xf numFmtId="0" fontId="10" fillId="0" borderId="30" xfId="0" applyFont="1" applyBorder="1" applyAlignment="1" applyProtection="1">
      <alignment horizontal="right" vertical="center"/>
      <protection hidden="1"/>
    </xf>
    <xf numFmtId="0" fontId="6" fillId="0" borderId="0" xfId="0" applyFont="1" applyAlignment="1">
      <alignment horizontal="right" vertical="center" wrapText="1"/>
    </xf>
    <xf numFmtId="0" fontId="6" fillId="0" borderId="4" xfId="0" applyFont="1" applyBorder="1" applyAlignment="1">
      <alignment horizontal="right" vertical="center" wrapText="1"/>
    </xf>
    <xf numFmtId="0" fontId="18" fillId="4" borderId="27" xfId="0" applyFont="1" applyFill="1" applyBorder="1" applyAlignment="1" applyProtection="1">
      <alignment horizontal="left" vertical="top" wrapText="1"/>
      <protection locked="0"/>
    </xf>
    <xf numFmtId="0" fontId="18" fillId="4" borderId="28" xfId="0" applyFont="1" applyFill="1" applyBorder="1" applyAlignment="1" applyProtection="1">
      <alignment horizontal="left" vertical="top" wrapText="1"/>
      <protection locked="0"/>
    </xf>
    <xf numFmtId="0" fontId="0" fillId="4" borderId="12" xfId="0" applyFill="1" applyBorder="1" applyAlignment="1" applyProtection="1">
      <alignment horizontal="center" shrinkToFit="1"/>
      <protection locked="0"/>
    </xf>
    <xf numFmtId="0" fontId="0" fillId="0" borderId="12" xfId="0" applyBorder="1" applyAlignment="1" applyProtection="1">
      <alignment horizontal="center" shrinkToFit="1"/>
      <protection locked="0"/>
    </xf>
    <xf numFmtId="0" fontId="0" fillId="0" borderId="105" xfId="0" applyBorder="1" applyAlignment="1" applyProtection="1">
      <alignment horizontal="center" shrinkToFit="1"/>
      <protection locked="0"/>
    </xf>
    <xf numFmtId="0" fontId="0" fillId="4" borderId="19" xfId="0" applyFill="1" applyBorder="1" applyAlignment="1" applyProtection="1">
      <alignment horizontal="center" shrinkToFit="1"/>
      <protection locked="0"/>
    </xf>
    <xf numFmtId="0" fontId="0" fillId="0" borderId="16" xfId="0" applyBorder="1" applyAlignment="1" applyProtection="1">
      <alignment horizontal="center"/>
      <protection locked="0"/>
    </xf>
    <xf numFmtId="0" fontId="0" fillId="0" borderId="6" xfId="0" applyBorder="1" applyAlignment="1" applyProtection="1">
      <alignment horizontal="center"/>
      <protection locked="0"/>
    </xf>
    <xf numFmtId="0" fontId="0" fillId="0" borderId="5" xfId="0" applyBorder="1" applyAlignment="1" applyProtection="1">
      <alignment horizontal="center"/>
      <protection locked="0"/>
    </xf>
    <xf numFmtId="0" fontId="6" fillId="0" borderId="2" xfId="0" applyFont="1" applyBorder="1"/>
    <xf numFmtId="0" fontId="20" fillId="4" borderId="38" xfId="0" applyFont="1" applyFill="1" applyBorder="1" applyAlignment="1" applyProtection="1">
      <alignment horizontal="left" shrinkToFit="1"/>
      <protection locked="0"/>
    </xf>
    <xf numFmtId="0" fontId="20" fillId="4" borderId="6" xfId="0" applyFont="1" applyFill="1" applyBorder="1" applyAlignment="1" applyProtection="1">
      <alignment horizontal="left" shrinkToFit="1"/>
      <protection locked="0"/>
    </xf>
    <xf numFmtId="0" fontId="20" fillId="4" borderId="5" xfId="0" applyFont="1" applyFill="1" applyBorder="1" applyAlignment="1" applyProtection="1">
      <alignment horizontal="left" shrinkToFit="1"/>
      <protection locked="0"/>
    </xf>
    <xf numFmtId="178" fontId="20" fillId="4" borderId="15" xfId="0" applyNumberFormat="1" applyFont="1" applyFill="1" applyBorder="1" applyAlignment="1" applyProtection="1">
      <alignment horizontal="center" vertical="center" shrinkToFit="1"/>
      <protection locked="0"/>
    </xf>
    <xf numFmtId="178" fontId="20" fillId="4" borderId="0" xfId="0" applyNumberFormat="1" applyFont="1" applyFill="1" applyAlignment="1" applyProtection="1">
      <alignment horizontal="center" vertical="center" shrinkToFit="1"/>
      <protection locked="0"/>
    </xf>
    <xf numFmtId="178" fontId="20" fillId="4" borderId="4" xfId="0" applyNumberFormat="1" applyFont="1" applyFill="1" applyBorder="1" applyAlignment="1" applyProtection="1">
      <alignment horizontal="center" vertical="center" shrinkToFit="1"/>
      <protection locked="0"/>
    </xf>
    <xf numFmtId="178" fontId="20" fillId="0" borderId="6" xfId="0" applyNumberFormat="1" applyFont="1" applyBorder="1" applyAlignment="1" applyProtection="1">
      <alignment horizontal="center" vertical="center" shrinkToFit="1"/>
      <protection locked="0"/>
    </xf>
    <xf numFmtId="178" fontId="20" fillId="0" borderId="14" xfId="0" applyNumberFormat="1" applyFont="1" applyBorder="1" applyAlignment="1" applyProtection="1">
      <alignment horizontal="center" vertical="center" shrinkToFit="1"/>
      <protection locked="0"/>
    </xf>
    <xf numFmtId="0" fontId="20" fillId="0" borderId="81" xfId="0" applyFont="1" applyBorder="1" applyAlignment="1" applyProtection="1">
      <alignment horizontal="left" vertical="center" shrinkToFit="1"/>
      <protection locked="0"/>
    </xf>
    <xf numFmtId="0" fontId="20" fillId="0" borderId="6" xfId="0" applyFont="1" applyBorder="1" applyAlignment="1" applyProtection="1">
      <alignment horizontal="left" vertical="center" shrinkToFit="1"/>
      <protection locked="0"/>
    </xf>
    <xf numFmtId="0" fontId="20" fillId="0" borderId="5" xfId="0" applyFont="1" applyBorder="1" applyAlignment="1" applyProtection="1">
      <alignment horizontal="left" vertical="center" shrinkToFit="1"/>
      <protection locked="0"/>
    </xf>
    <xf numFmtId="164" fontId="20" fillId="0" borderId="16" xfId="0" applyNumberFormat="1" applyFont="1" applyBorder="1" applyAlignment="1" applyProtection="1">
      <alignment horizontal="center" vertical="center" shrinkToFit="1"/>
      <protection locked="0"/>
    </xf>
    <xf numFmtId="164" fontId="20" fillId="0" borderId="6" xfId="0" applyNumberFormat="1" applyFont="1" applyBorder="1" applyAlignment="1" applyProtection="1">
      <alignment horizontal="center" vertical="center" shrinkToFit="1"/>
      <protection locked="0"/>
    </xf>
    <xf numFmtId="164" fontId="20" fillId="0" borderId="5" xfId="0" applyNumberFormat="1" applyFont="1" applyBorder="1" applyAlignment="1" applyProtection="1">
      <alignment horizontal="center" vertical="center" shrinkToFit="1"/>
      <protection locked="0"/>
    </xf>
    <xf numFmtId="0" fontId="28" fillId="2" borderId="17" xfId="0" applyFont="1" applyFill="1" applyBorder="1" applyAlignment="1">
      <alignment horizontal="right"/>
    </xf>
    <xf numFmtId="0" fontId="28" fillId="2" borderId="30" xfId="0" applyFont="1" applyFill="1" applyBorder="1" applyAlignment="1">
      <alignment horizontal="right"/>
    </xf>
    <xf numFmtId="0" fontId="6" fillId="0" borderId="9" xfId="22" applyBorder="1"/>
    <xf numFmtId="0" fontId="6" fillId="0" borderId="0" xfId="22"/>
    <xf numFmtId="0" fontId="6" fillId="0" borderId="3" xfId="22" applyBorder="1"/>
    <xf numFmtId="0" fontId="6" fillId="0" borderId="80" xfId="22" applyBorder="1"/>
    <xf numFmtId="0" fontId="6" fillId="0" borderId="107" xfId="22" applyBorder="1"/>
    <xf numFmtId="0" fontId="6" fillId="0" borderId="107" xfId="0" applyFont="1" applyBorder="1"/>
    <xf numFmtId="0" fontId="6" fillId="0" borderId="108" xfId="0" applyFont="1" applyBorder="1"/>
    <xf numFmtId="0" fontId="6" fillId="0" borderId="81" xfId="0" applyFont="1" applyBorder="1" applyAlignment="1">
      <alignment horizontal="center"/>
    </xf>
    <xf numFmtId="0" fontId="6" fillId="0" borderId="6" xfId="0" applyFont="1" applyBorder="1" applyAlignment="1">
      <alignment horizontal="center"/>
    </xf>
    <xf numFmtId="0" fontId="6" fillId="0" borderId="5" xfId="0" applyFont="1" applyBorder="1" applyAlignment="1">
      <alignment horizontal="center"/>
    </xf>
    <xf numFmtId="0" fontId="6" fillId="0" borderId="14" xfId="0" applyFont="1" applyBorder="1" applyAlignment="1">
      <alignment horizontal="center"/>
    </xf>
    <xf numFmtId="0" fontId="0" fillId="4" borderId="92" xfId="0" applyFill="1" applyBorder="1" applyAlignment="1" applyProtection="1">
      <alignment horizontal="center" vertical="center" shrinkToFit="1"/>
      <protection locked="0"/>
    </xf>
    <xf numFmtId="0" fontId="0" fillId="4" borderId="57" xfId="0" applyFill="1" applyBorder="1" applyAlignment="1" applyProtection="1">
      <alignment horizontal="center" vertical="center" shrinkToFit="1"/>
      <protection locked="0"/>
    </xf>
    <xf numFmtId="0" fontId="0" fillId="4" borderId="93" xfId="0" applyFill="1" applyBorder="1" applyAlignment="1" applyProtection="1">
      <alignment horizontal="center" vertical="center" shrinkToFit="1"/>
      <protection locked="0"/>
    </xf>
    <xf numFmtId="0" fontId="0" fillId="4" borderId="70" xfId="0" applyFill="1" applyBorder="1" applyAlignment="1" applyProtection="1">
      <alignment horizontal="center" vertical="center" shrinkToFit="1"/>
      <protection locked="0"/>
    </xf>
    <xf numFmtId="0" fontId="6" fillId="0" borderId="82" xfId="0" applyFont="1" applyBorder="1" applyAlignment="1">
      <alignment horizontal="center" vertical="center"/>
    </xf>
    <xf numFmtId="0" fontId="6" fillId="0" borderId="72" xfId="0" applyFont="1" applyBorder="1" applyAlignment="1">
      <alignment horizontal="center" vertical="center"/>
    </xf>
    <xf numFmtId="0" fontId="6" fillId="0" borderId="22" xfId="22" applyBorder="1" applyAlignment="1">
      <alignment horizontal="left" vertical="center"/>
    </xf>
    <xf numFmtId="0" fontId="6" fillId="0" borderId="17" xfId="22" applyBorder="1" applyAlignment="1">
      <alignment horizontal="left" vertical="center"/>
    </xf>
    <xf numFmtId="0" fontId="6" fillId="0" borderId="38" xfId="22" applyBorder="1" applyAlignment="1">
      <alignment horizontal="left" vertical="center"/>
    </xf>
    <xf numFmtId="0" fontId="6" fillId="0" borderId="6" xfId="22" applyBorder="1" applyAlignment="1">
      <alignment horizontal="left" vertical="center"/>
    </xf>
    <xf numFmtId="0" fontId="6" fillId="4" borderId="1" xfId="22" applyFill="1" applyBorder="1" applyAlignment="1" applyProtection="1">
      <alignment horizontal="left" vertical="center" wrapText="1"/>
      <protection locked="0"/>
    </xf>
    <xf numFmtId="0" fontId="6" fillId="4" borderId="34" xfId="22" applyFill="1" applyBorder="1" applyAlignment="1" applyProtection="1">
      <alignment horizontal="left" vertical="center" wrapText="1"/>
      <protection locked="0"/>
    </xf>
    <xf numFmtId="0" fontId="6" fillId="4" borderId="6" xfId="22" applyFill="1" applyBorder="1" applyAlignment="1" applyProtection="1">
      <alignment horizontal="left" vertical="center" wrapText="1"/>
      <protection locked="0"/>
    </xf>
    <xf numFmtId="0" fontId="6" fillId="4" borderId="37" xfId="22" applyFill="1" applyBorder="1" applyAlignment="1" applyProtection="1">
      <alignment horizontal="left" vertical="center" wrapText="1"/>
      <protection locked="0"/>
    </xf>
    <xf numFmtId="4" fontId="0" fillId="4" borderId="6" xfId="0" applyNumberFormat="1" applyFill="1" applyBorder="1" applyAlignment="1" applyProtection="1">
      <alignment horizontal="center" vertical="center" shrinkToFit="1"/>
      <protection locked="0"/>
    </xf>
    <xf numFmtId="0" fontId="6" fillId="0" borderId="61" xfId="0" applyFont="1" applyBorder="1"/>
    <xf numFmtId="0" fontId="2" fillId="4" borderId="38" xfId="0" applyFont="1" applyFill="1" applyBorder="1" applyAlignment="1" applyProtection="1">
      <alignment horizontal="left" shrinkToFit="1"/>
      <protection locked="0"/>
    </xf>
    <xf numFmtId="0" fontId="2" fillId="4" borderId="6" xfId="0" applyFont="1" applyFill="1" applyBorder="1" applyAlignment="1" applyProtection="1">
      <alignment horizontal="left" shrinkToFit="1"/>
      <protection locked="0"/>
    </xf>
    <xf numFmtId="0" fontId="2" fillId="4" borderId="14" xfId="0" applyFont="1" applyFill="1" applyBorder="1" applyAlignment="1" applyProtection="1">
      <alignment horizontal="left" shrinkToFit="1"/>
      <protection locked="0"/>
    </xf>
    <xf numFmtId="0" fontId="0" fillId="4" borderId="81" xfId="0" applyFill="1" applyBorder="1" applyAlignment="1" applyProtection="1">
      <alignment horizontal="left" shrinkToFit="1"/>
      <protection locked="0"/>
    </xf>
    <xf numFmtId="0" fontId="0" fillId="4" borderId="6" xfId="0" applyFill="1" applyBorder="1" applyAlignment="1" applyProtection="1">
      <alignment horizontal="left" shrinkToFit="1"/>
      <protection locked="0"/>
    </xf>
    <xf numFmtId="0" fontId="0" fillId="4" borderId="0" xfId="0" applyFill="1" applyAlignment="1" applyProtection="1">
      <alignment horizontal="left" shrinkToFit="1"/>
      <protection locked="0"/>
    </xf>
    <xf numFmtId="0" fontId="0" fillId="4" borderId="3" xfId="0" applyFill="1" applyBorder="1" applyAlignment="1" applyProtection="1">
      <alignment horizontal="left" shrinkToFit="1"/>
      <protection locked="0"/>
    </xf>
    <xf numFmtId="0" fontId="26" fillId="4" borderId="59" xfId="0" applyFont="1" applyFill="1" applyBorder="1" applyAlignment="1" applyProtection="1">
      <alignment shrinkToFit="1"/>
      <protection locked="0"/>
    </xf>
    <xf numFmtId="0" fontId="20" fillId="4" borderId="12" xfId="0" applyFont="1" applyFill="1" applyBorder="1" applyAlignment="1" applyProtection="1">
      <alignment shrinkToFit="1"/>
      <protection locked="0"/>
    </xf>
    <xf numFmtId="0" fontId="20" fillId="4" borderId="13" xfId="0" applyFont="1" applyFill="1" applyBorder="1" applyAlignment="1" applyProtection="1">
      <alignment shrinkToFit="1"/>
      <protection locked="0"/>
    </xf>
    <xf numFmtId="168" fontId="20" fillId="4" borderId="19" xfId="0" applyNumberFormat="1" applyFont="1" applyFill="1" applyBorder="1" applyAlignment="1" applyProtection="1">
      <alignment horizontal="left"/>
      <protection locked="0"/>
    </xf>
    <xf numFmtId="168" fontId="20" fillId="4" borderId="12" xfId="0" applyNumberFormat="1" applyFont="1" applyFill="1" applyBorder="1" applyAlignment="1" applyProtection="1">
      <alignment horizontal="left"/>
      <protection locked="0"/>
    </xf>
    <xf numFmtId="168" fontId="20" fillId="4" borderId="56" xfId="0" applyNumberFormat="1" applyFont="1" applyFill="1" applyBorder="1" applyAlignment="1" applyProtection="1">
      <alignment horizontal="left"/>
      <protection locked="0"/>
    </xf>
    <xf numFmtId="0" fontId="6" fillId="0" borderId="22" xfId="22" applyBorder="1"/>
    <xf numFmtId="0" fontId="6" fillId="0" borderId="17" xfId="22" applyBorder="1"/>
    <xf numFmtId="0" fontId="6" fillId="0" borderId="103" xfId="22" applyBorder="1"/>
    <xf numFmtId="0" fontId="6" fillId="0" borderId="102" xfId="22" applyBorder="1"/>
    <xf numFmtId="0" fontId="6" fillId="0" borderId="102" xfId="0" applyFont="1" applyBorder="1"/>
    <xf numFmtId="0" fontId="6" fillId="0" borderId="17" xfId="0" applyFont="1" applyBorder="1"/>
    <xf numFmtId="0" fontId="6" fillId="0" borderId="106" xfId="0" applyFont="1" applyBorder="1"/>
    <xf numFmtId="0" fontId="20" fillId="4" borderId="59" xfId="0" applyFont="1" applyFill="1" applyBorder="1" applyAlignment="1" applyProtection="1">
      <alignment horizontal="left" shrinkToFit="1"/>
      <protection locked="0"/>
    </xf>
    <xf numFmtId="0" fontId="20" fillId="4" borderId="12" xfId="0" applyFont="1" applyFill="1" applyBorder="1" applyAlignment="1" applyProtection="1">
      <alignment horizontal="left" shrinkToFit="1"/>
      <protection locked="0"/>
    </xf>
    <xf numFmtId="0" fontId="0" fillId="0" borderId="12" xfId="0" applyBorder="1" applyAlignment="1" applyProtection="1">
      <alignment horizontal="left" shrinkToFit="1"/>
      <protection locked="0"/>
    </xf>
    <xf numFmtId="0" fontId="0" fillId="0" borderId="13" xfId="0" applyBorder="1" applyAlignment="1" applyProtection="1">
      <alignment horizontal="left" shrinkToFit="1"/>
      <protection locked="0"/>
    </xf>
    <xf numFmtId="168" fontId="12" fillId="0" borderId="9" xfId="0" applyNumberFormat="1" applyFont="1" applyBorder="1" applyAlignment="1">
      <alignment horizontal="left"/>
    </xf>
    <xf numFmtId="0" fontId="0" fillId="4" borderId="9" xfId="0" applyFill="1" applyBorder="1" applyAlignment="1" applyProtection="1">
      <alignment horizontal="left" vertical="top" wrapText="1" shrinkToFit="1"/>
      <protection locked="0"/>
    </xf>
    <xf numFmtId="0" fontId="0" fillId="0" borderId="0" xfId="0" applyAlignment="1" applyProtection="1">
      <alignment horizontal="left" vertical="top" wrapText="1" shrinkToFit="1"/>
      <protection locked="0"/>
    </xf>
    <xf numFmtId="0" fontId="0" fillId="0" borderId="10" xfId="0" applyBorder="1" applyAlignment="1" applyProtection="1">
      <alignment horizontal="left" vertical="top" wrapText="1" shrinkToFit="1"/>
      <protection locked="0"/>
    </xf>
    <xf numFmtId="0" fontId="0" fillId="0" borderId="9" xfId="0" applyBorder="1" applyAlignment="1" applyProtection="1">
      <alignment horizontal="left" vertical="top" wrapText="1" shrinkToFit="1"/>
      <protection locked="0"/>
    </xf>
    <xf numFmtId="0" fontId="0" fillId="0" borderId="19" xfId="0" applyBorder="1" applyAlignment="1" applyProtection="1">
      <alignment horizontal="left" vertical="top" wrapText="1" shrinkToFit="1"/>
      <protection locked="0"/>
    </xf>
    <xf numFmtId="0" fontId="0" fillId="0" borderId="12" xfId="0" applyBorder="1" applyAlignment="1" applyProtection="1">
      <alignment horizontal="left" vertical="top" wrapText="1" shrinkToFit="1"/>
      <protection locked="0"/>
    </xf>
    <xf numFmtId="0" fontId="0" fillId="0" borderId="13" xfId="0" applyBorder="1" applyAlignment="1" applyProtection="1">
      <alignment horizontal="left" vertical="top" wrapText="1" shrinkToFit="1"/>
      <protection locked="0"/>
    </xf>
    <xf numFmtId="0" fontId="6" fillId="0" borderId="23" xfId="0" applyFont="1" applyBorder="1" applyAlignment="1">
      <alignment horizontal="left"/>
    </xf>
    <xf numFmtId="0" fontId="6" fillId="0" borderId="11" xfId="0" applyFont="1" applyBorder="1" applyAlignment="1">
      <alignment horizontal="left"/>
    </xf>
    <xf numFmtId="0" fontId="0" fillId="4" borderId="51" xfId="0" applyFill="1" applyBorder="1" applyAlignment="1" applyProtection="1">
      <alignment horizontal="left"/>
      <protection locked="0"/>
    </xf>
    <xf numFmtId="0" fontId="0" fillId="4" borderId="46" xfId="0" applyFill="1" applyBorder="1" applyAlignment="1" applyProtection="1">
      <alignment horizontal="left"/>
      <protection locked="0"/>
    </xf>
    <xf numFmtId="0" fontId="6" fillId="0" borderId="15" xfId="0" applyFont="1" applyBorder="1" applyAlignment="1">
      <alignment horizontal="left"/>
    </xf>
    <xf numFmtId="0" fontId="6" fillId="0" borderId="24" xfId="0" applyFont="1" applyBorder="1" applyAlignment="1">
      <alignment horizontal="left"/>
    </xf>
    <xf numFmtId="164" fontId="0" fillId="0" borderId="16" xfId="0" applyNumberFormat="1" applyBorder="1" applyAlignment="1" applyProtection="1">
      <alignment horizontal="center"/>
      <protection locked="0"/>
    </xf>
    <xf numFmtId="164" fontId="0" fillId="0" borderId="6" xfId="0" applyNumberFormat="1" applyBorder="1" applyAlignment="1" applyProtection="1">
      <alignment horizontal="center"/>
      <protection locked="0"/>
    </xf>
    <xf numFmtId="164" fontId="0" fillId="0" borderId="37" xfId="0" applyNumberFormat="1" applyBorder="1" applyAlignment="1" applyProtection="1">
      <alignment horizontal="center"/>
      <protection locked="0"/>
    </xf>
    <xf numFmtId="0" fontId="0" fillId="4" borderId="80" xfId="0" applyFill="1" applyBorder="1" applyAlignment="1" applyProtection="1">
      <alignment horizontal="center" shrinkToFit="1"/>
      <protection locked="0"/>
    </xf>
    <xf numFmtId="0" fontId="0" fillId="4" borderId="0" xfId="0" applyFill="1" applyAlignment="1" applyProtection="1">
      <alignment horizontal="center" shrinkToFit="1"/>
      <protection locked="0"/>
    </xf>
    <xf numFmtId="0" fontId="0" fillId="4" borderId="4" xfId="0" applyFill="1" applyBorder="1" applyAlignment="1" applyProtection="1">
      <alignment horizontal="center" shrinkToFit="1"/>
      <protection locked="0"/>
    </xf>
    <xf numFmtId="0" fontId="0" fillId="0" borderId="15" xfId="0" applyBorder="1" applyAlignment="1" applyProtection="1">
      <alignment horizontal="center" shrinkToFit="1"/>
      <protection locked="0"/>
    </xf>
    <xf numFmtId="0" fontId="0" fillId="0" borderId="0" xfId="0" applyAlignment="1" applyProtection="1">
      <alignment horizontal="center" shrinkToFit="1"/>
      <protection locked="0"/>
    </xf>
    <xf numFmtId="0" fontId="0" fillId="0" borderId="10" xfId="0" applyBorder="1" applyAlignment="1" applyProtection="1">
      <alignment horizontal="center" shrinkToFit="1"/>
      <protection locked="0"/>
    </xf>
    <xf numFmtId="0" fontId="6" fillId="0" borderId="102" xfId="0" applyFont="1" applyBorder="1" applyAlignment="1">
      <alignment horizontal="center"/>
    </xf>
    <xf numFmtId="0" fontId="6" fillId="0" borderId="17" xfId="0" applyFont="1" applyBorder="1" applyAlignment="1">
      <alignment horizontal="center"/>
    </xf>
    <xf numFmtId="0" fontId="6" fillId="0" borderId="30" xfId="0" applyFont="1" applyBorder="1" applyAlignment="1">
      <alignment horizontal="center"/>
    </xf>
    <xf numFmtId="0" fontId="35" fillId="2" borderId="42" xfId="72" applyFont="1" applyFill="1" applyBorder="1" applyAlignment="1">
      <alignment vertical="center"/>
    </xf>
    <xf numFmtId="0" fontId="35" fillId="2" borderId="43" xfId="72" applyFont="1" applyFill="1" applyBorder="1" applyAlignment="1">
      <alignment vertical="center"/>
    </xf>
    <xf numFmtId="0" fontId="35" fillId="2" borderId="95" xfId="72" applyFont="1" applyFill="1" applyBorder="1" applyAlignment="1">
      <alignment vertical="center"/>
    </xf>
    <xf numFmtId="0" fontId="6" fillId="0" borderId="103" xfId="0" applyFont="1" applyBorder="1" applyAlignment="1">
      <alignment horizontal="center"/>
    </xf>
    <xf numFmtId="0" fontId="0" fillId="4" borderId="104" xfId="0" applyFill="1" applyBorder="1" applyAlignment="1" applyProtection="1">
      <alignment horizontal="center" shrinkToFit="1"/>
      <protection locked="0"/>
    </xf>
    <xf numFmtId="0" fontId="0" fillId="4" borderId="105" xfId="0" applyFill="1" applyBorder="1" applyAlignment="1" applyProtection="1">
      <alignment horizontal="center" shrinkToFit="1"/>
      <protection locked="0"/>
    </xf>
    <xf numFmtId="0" fontId="0" fillId="0" borderId="2" xfId="0" applyBorder="1"/>
    <xf numFmtId="0" fontId="28" fillId="2" borderId="9" xfId="0" applyFont="1" applyFill="1" applyBorder="1" applyAlignment="1">
      <alignment vertical="center"/>
    </xf>
    <xf numFmtId="0" fontId="28" fillId="2" borderId="0" xfId="0" applyFont="1" applyFill="1" applyAlignment="1">
      <alignment vertical="center"/>
    </xf>
    <xf numFmtId="0" fontId="28" fillId="2" borderId="10" xfId="0" applyFont="1" applyFill="1" applyBorder="1" applyAlignment="1">
      <alignment vertical="center"/>
    </xf>
    <xf numFmtId="0" fontId="18" fillId="0" borderId="0" xfId="0" applyFont="1" applyAlignment="1">
      <alignment horizontal="left"/>
    </xf>
    <xf numFmtId="0" fontId="6" fillId="0" borderId="0" xfId="0" applyFont="1" applyAlignment="1">
      <alignment horizontal="right" vertical="center"/>
    </xf>
    <xf numFmtId="0" fontId="6" fillId="0" borderId="4" xfId="0" applyFont="1" applyBorder="1" applyAlignment="1">
      <alignment horizontal="right" vertical="center"/>
    </xf>
    <xf numFmtId="0" fontId="36" fillId="0" borderId="18" xfId="0" applyFont="1" applyBorder="1"/>
    <xf numFmtId="0" fontId="36" fillId="0" borderId="7" xfId="0" applyFont="1" applyBorder="1"/>
    <xf numFmtId="0" fontId="36" fillId="0" borderId="96" xfId="0" applyFont="1" applyBorder="1"/>
    <xf numFmtId="0" fontId="12" fillId="0" borderId="87" xfId="0" applyFont="1" applyBorder="1" applyAlignment="1">
      <alignment horizontal="center"/>
    </xf>
    <xf numFmtId="0" fontId="12" fillId="0" borderId="7" xfId="0" applyFont="1" applyBorder="1" applyAlignment="1">
      <alignment horizontal="center"/>
    </xf>
    <xf numFmtId="0" fontId="12" fillId="0" borderId="96" xfId="0" applyFont="1" applyBorder="1" applyAlignment="1">
      <alignment horizontal="center"/>
    </xf>
    <xf numFmtId="0" fontId="29" fillId="4" borderId="62" xfId="0" applyFont="1" applyFill="1" applyBorder="1" applyAlignment="1" applyProtection="1">
      <alignment horizontal="center" vertical="center" shrinkToFit="1"/>
      <protection locked="0"/>
    </xf>
    <xf numFmtId="0" fontId="29" fillId="4" borderId="57" xfId="0" applyFont="1" applyFill="1" applyBorder="1" applyAlignment="1" applyProtection="1">
      <alignment horizontal="center" vertical="center" shrinkToFit="1"/>
      <protection locked="0"/>
    </xf>
    <xf numFmtId="0" fontId="29" fillId="4" borderId="74" xfId="0" applyFont="1" applyFill="1" applyBorder="1" applyAlignment="1" applyProtection="1">
      <alignment horizontal="center" vertical="center" shrinkToFit="1"/>
      <protection locked="0"/>
    </xf>
    <xf numFmtId="0" fontId="29" fillId="0" borderId="62" xfId="0" applyFont="1" applyBorder="1" applyAlignment="1">
      <alignment horizontal="center" vertical="center"/>
    </xf>
    <xf numFmtId="0" fontId="29" fillId="0" borderId="57" xfId="0" applyFont="1" applyBorder="1" applyAlignment="1">
      <alignment horizontal="center" vertical="center"/>
    </xf>
    <xf numFmtId="0" fontId="29" fillId="0" borderId="93" xfId="0" applyFont="1" applyBorder="1" applyAlignment="1">
      <alignment horizontal="center" vertical="center"/>
    </xf>
    <xf numFmtId="0" fontId="6" fillId="0" borderId="37" xfId="0" applyFont="1" applyBorder="1" applyAlignment="1">
      <alignment horizontal="center"/>
    </xf>
    <xf numFmtId="0" fontId="29" fillId="4" borderId="33" xfId="0" applyFont="1" applyFill="1" applyBorder="1" applyAlignment="1" applyProtection="1">
      <alignment horizontal="center" vertical="center" shrinkToFit="1"/>
      <protection locked="0"/>
    </xf>
    <xf numFmtId="0" fontId="29" fillId="4" borderId="7" xfId="0" applyFont="1" applyFill="1" applyBorder="1" applyAlignment="1" applyProtection="1">
      <alignment horizontal="center" vertical="center" shrinkToFit="1"/>
      <protection locked="0"/>
    </xf>
    <xf numFmtId="0" fontId="29" fillId="4" borderId="96" xfId="0" applyFont="1" applyFill="1" applyBorder="1" applyAlignment="1" applyProtection="1">
      <alignment horizontal="center" vertical="center" shrinkToFit="1"/>
      <protection locked="0"/>
    </xf>
    <xf numFmtId="0" fontId="29" fillId="4" borderId="87" xfId="0" applyFont="1" applyFill="1" applyBorder="1" applyAlignment="1" applyProtection="1">
      <alignment horizontal="center" vertical="center" shrinkToFit="1"/>
      <protection locked="0"/>
    </xf>
    <xf numFmtId="0" fontId="6" fillId="0" borderId="87" xfId="23" applyFont="1" applyBorder="1" applyAlignment="1">
      <alignment horizontal="center"/>
    </xf>
    <xf numFmtId="0" fontId="6" fillId="0" borderId="7" xfId="23" applyFont="1" applyBorder="1" applyAlignment="1">
      <alignment horizontal="center"/>
    </xf>
    <xf numFmtId="0" fontId="6" fillId="0" borderId="96" xfId="23" applyFont="1" applyBorder="1" applyAlignment="1">
      <alignment horizontal="center"/>
    </xf>
    <xf numFmtId="0" fontId="6" fillId="0" borderId="87" xfId="0" applyFont="1" applyBorder="1" applyAlignment="1">
      <alignment horizontal="center"/>
    </xf>
    <xf numFmtId="0" fontId="6" fillId="0" borderId="96" xfId="0" applyFont="1" applyBorder="1" applyAlignment="1">
      <alignment horizontal="center"/>
    </xf>
    <xf numFmtId="0" fontId="29" fillId="0" borderId="87" xfId="0" applyFont="1" applyBorder="1" applyAlignment="1">
      <alignment horizontal="center" vertical="center"/>
    </xf>
    <xf numFmtId="0" fontId="29" fillId="0" borderId="7" xfId="0" applyFont="1" applyBorder="1" applyAlignment="1">
      <alignment horizontal="center" vertical="center"/>
    </xf>
    <xf numFmtId="0" fontId="29" fillId="0" borderId="96" xfId="0" applyFont="1" applyBorder="1" applyAlignment="1">
      <alignment horizontal="center" vertical="center"/>
    </xf>
    <xf numFmtId="0" fontId="0" fillId="4" borderId="87" xfId="0" applyFill="1" applyBorder="1" applyAlignment="1" applyProtection="1">
      <alignment horizontal="center" vertical="center" shrinkToFit="1"/>
      <protection locked="0"/>
    </xf>
    <xf numFmtId="0" fontId="0" fillId="4" borderId="7" xfId="0" applyFill="1" applyBorder="1" applyAlignment="1" applyProtection="1">
      <alignment horizontal="center" vertical="center" shrinkToFit="1"/>
      <protection locked="0"/>
    </xf>
    <xf numFmtId="0" fontId="0" fillId="4" borderId="96" xfId="0" applyFill="1" applyBorder="1" applyAlignment="1" applyProtection="1">
      <alignment horizontal="center" vertical="center" shrinkToFit="1"/>
      <protection locked="0"/>
    </xf>
    <xf numFmtId="0" fontId="0" fillId="4" borderId="25" xfId="0" applyFill="1" applyBorder="1" applyAlignment="1" applyProtection="1">
      <alignment horizontal="center" vertical="center" shrinkToFit="1"/>
      <protection locked="0"/>
    </xf>
    <xf numFmtId="0" fontId="29" fillId="4" borderId="93" xfId="0" applyFont="1" applyFill="1" applyBorder="1" applyAlignment="1" applyProtection="1">
      <alignment horizontal="center" vertical="center" shrinkToFit="1"/>
      <protection locked="0"/>
    </xf>
    <xf numFmtId="0" fontId="29" fillId="4" borderId="92" xfId="0" applyFont="1" applyFill="1" applyBorder="1" applyAlignment="1" applyProtection="1">
      <alignment horizontal="center" vertical="center" shrinkToFit="1"/>
      <protection locked="0"/>
    </xf>
    <xf numFmtId="0" fontId="23" fillId="0" borderId="22" xfId="0" applyFont="1" applyBorder="1" applyAlignment="1">
      <alignment horizontal="left"/>
    </xf>
    <xf numFmtId="0" fontId="23" fillId="0" borderId="17" xfId="0" applyFont="1" applyBorder="1" applyAlignment="1">
      <alignment horizontal="left"/>
    </xf>
    <xf numFmtId="0" fontId="6" fillId="0" borderId="75" xfId="0" applyFont="1" applyBorder="1" applyAlignment="1">
      <alignment horizontal="center"/>
    </xf>
    <xf numFmtId="0" fontId="6" fillId="0" borderId="44" xfId="0" applyFont="1" applyBorder="1" applyAlignment="1">
      <alignment horizontal="center"/>
    </xf>
    <xf numFmtId="0" fontId="6" fillId="0" borderId="43" xfId="0" applyFont="1" applyBorder="1" applyAlignment="1">
      <alignment horizontal="center"/>
    </xf>
    <xf numFmtId="0" fontId="7" fillId="2" borderId="17" xfId="0" applyFont="1" applyFill="1" applyBorder="1" applyAlignment="1">
      <alignment horizontal="center"/>
    </xf>
    <xf numFmtId="0" fontId="7" fillId="2" borderId="35" xfId="0" applyFont="1" applyFill="1" applyBorder="1" applyAlignment="1">
      <alignment horizontal="center"/>
    </xf>
    <xf numFmtId="0" fontId="7" fillId="2" borderId="30" xfId="0" applyFont="1" applyFill="1" applyBorder="1" applyAlignment="1">
      <alignment horizontal="center"/>
    </xf>
    <xf numFmtId="0" fontId="0" fillId="0" borderId="29" xfId="0" applyBorder="1" applyAlignment="1">
      <alignment horizontal="center"/>
    </xf>
    <xf numFmtId="0" fontId="0" fillId="0" borderId="21" xfId="0" applyBorder="1" applyAlignment="1">
      <alignment horizontal="center"/>
    </xf>
    <xf numFmtId="0" fontId="0" fillId="0" borderId="32" xfId="0" applyBorder="1" applyAlignment="1">
      <alignment horizontal="center"/>
    </xf>
    <xf numFmtId="0" fontId="6" fillId="0" borderId="79" xfId="0" applyFont="1" applyBorder="1" applyAlignment="1">
      <alignment horizontal="center" vertical="center"/>
    </xf>
    <xf numFmtId="0" fontId="29" fillId="0" borderId="92" xfId="0" applyFont="1" applyBorder="1" applyAlignment="1">
      <alignment horizontal="center" vertical="center"/>
    </xf>
    <xf numFmtId="0" fontId="20" fillId="0" borderId="29" xfId="0" applyFont="1" applyBorder="1" applyAlignment="1">
      <alignment horizontal="center" vertical="top"/>
    </xf>
    <xf numFmtId="0" fontId="20" fillId="0" borderId="32" xfId="0" applyFont="1" applyBorder="1" applyAlignment="1">
      <alignment horizontal="center" vertical="top"/>
    </xf>
    <xf numFmtId="0" fontId="20" fillId="0" borderId="29" xfId="0" applyFont="1" applyBorder="1" applyAlignment="1">
      <alignment horizontal="center"/>
    </xf>
    <xf numFmtId="0" fontId="20" fillId="0" borderId="21" xfId="0" applyFont="1" applyBorder="1" applyAlignment="1">
      <alignment horizontal="center"/>
    </xf>
    <xf numFmtId="0" fontId="20" fillId="0" borderId="32" xfId="0" applyFont="1" applyBorder="1" applyAlignment="1">
      <alignment horizontal="center"/>
    </xf>
    <xf numFmtId="0" fontId="20" fillId="4" borderId="62" xfId="0" applyFont="1" applyFill="1" applyBorder="1" applyAlignment="1" applyProtection="1">
      <alignment horizontal="center" shrinkToFit="1"/>
      <protection locked="0"/>
    </xf>
    <xf numFmtId="0" fontId="20" fillId="4" borderId="57" xfId="0" applyFont="1" applyFill="1" applyBorder="1" applyAlignment="1" applyProtection="1">
      <alignment horizontal="center" shrinkToFit="1"/>
      <protection locked="0"/>
    </xf>
    <xf numFmtId="0" fontId="20" fillId="4" borderId="70" xfId="0" applyFont="1" applyFill="1" applyBorder="1" applyAlignment="1" applyProtection="1">
      <alignment horizontal="center" shrinkToFit="1"/>
      <protection locked="0"/>
    </xf>
    <xf numFmtId="0" fontId="37" fillId="1" borderId="62" xfId="0" applyFont="1" applyFill="1" applyBorder="1" applyAlignment="1">
      <alignment horizontal="center"/>
    </xf>
    <xf numFmtId="0" fontId="37" fillId="1" borderId="74" xfId="0" applyFont="1" applyFill="1" applyBorder="1" applyAlignment="1">
      <alignment horizontal="center"/>
    </xf>
    <xf numFmtId="0" fontId="20" fillId="4" borderId="33" xfId="0" applyFont="1" applyFill="1" applyBorder="1" applyAlignment="1" applyProtection="1">
      <alignment horizontal="center" shrinkToFit="1"/>
      <protection locked="0"/>
    </xf>
    <xf numFmtId="0" fontId="20" fillId="4" borderId="8" xfId="0" applyFont="1" applyFill="1" applyBorder="1" applyAlignment="1" applyProtection="1">
      <alignment horizontal="center" shrinkToFit="1"/>
      <protection locked="0"/>
    </xf>
    <xf numFmtId="0" fontId="20" fillId="4" borderId="7" xfId="0" applyFont="1" applyFill="1" applyBorder="1" applyAlignment="1" applyProtection="1">
      <alignment horizontal="center" shrinkToFit="1"/>
      <protection locked="0"/>
    </xf>
    <xf numFmtId="0" fontId="20" fillId="4" borderId="25" xfId="0" applyFont="1" applyFill="1" applyBorder="1" applyAlignment="1" applyProtection="1">
      <alignment horizontal="center" shrinkToFit="1"/>
      <protection locked="0"/>
    </xf>
    <xf numFmtId="0" fontId="0" fillId="4" borderId="7" xfId="0" applyFill="1" applyBorder="1" applyAlignment="1" applyProtection="1">
      <alignment horizontal="center" shrinkToFit="1"/>
      <protection locked="0"/>
    </xf>
    <xf numFmtId="0" fontId="0" fillId="4" borderId="33" xfId="0" applyFill="1" applyBorder="1" applyAlignment="1" applyProtection="1">
      <alignment horizontal="center" shrinkToFit="1"/>
      <protection locked="0"/>
    </xf>
    <xf numFmtId="0" fontId="0" fillId="4" borderId="8" xfId="0" applyFill="1" applyBorder="1" applyAlignment="1" applyProtection="1">
      <alignment horizontal="center" shrinkToFit="1"/>
      <protection locked="0"/>
    </xf>
    <xf numFmtId="0" fontId="20" fillId="4" borderId="74" xfId="0" applyFont="1" applyFill="1" applyBorder="1" applyAlignment="1" applyProtection="1">
      <alignment horizontal="center" shrinkToFit="1"/>
      <protection locked="0"/>
    </xf>
    <xf numFmtId="0" fontId="0" fillId="4" borderId="26" xfId="0" applyFill="1" applyBorder="1" applyAlignment="1" applyProtection="1">
      <alignment horizontal="center" vertical="center" shrinkToFit="1"/>
      <protection locked="0"/>
    </xf>
    <xf numFmtId="0" fontId="12" fillId="0" borderId="42" xfId="0" applyFont="1" applyBorder="1" applyAlignment="1">
      <alignment horizontal="center"/>
    </xf>
    <xf numFmtId="0" fontId="12" fillId="0" borderId="43" xfId="0" applyFont="1" applyBorder="1" applyAlignment="1">
      <alignment horizontal="center"/>
    </xf>
    <xf numFmtId="0" fontId="12" fillId="0" borderId="78" xfId="0" applyFont="1" applyBorder="1" applyAlignment="1">
      <alignment horizontal="center"/>
    </xf>
    <xf numFmtId="0" fontId="12" fillId="0" borderId="82" xfId="0" applyFont="1" applyBorder="1" applyAlignment="1">
      <alignment horizontal="center"/>
    </xf>
    <xf numFmtId="0" fontId="12" fillId="0" borderId="72" xfId="0" applyFont="1" applyBorder="1" applyAlignment="1">
      <alignment horizontal="center"/>
    </xf>
    <xf numFmtId="0" fontId="12" fillId="0" borderId="79" xfId="0" applyFont="1" applyBorder="1" applyAlignment="1">
      <alignment horizontal="center"/>
    </xf>
    <xf numFmtId="0" fontId="45" fillId="2" borderId="17" xfId="0" applyFont="1" applyFill="1" applyBorder="1" applyAlignment="1">
      <alignment horizontal="right"/>
    </xf>
    <xf numFmtId="0" fontId="45" fillId="2" borderId="30" xfId="0" applyFont="1" applyFill="1" applyBorder="1" applyAlignment="1">
      <alignment horizontal="right"/>
    </xf>
    <xf numFmtId="0" fontId="0" fillId="0" borderId="43" xfId="0" applyBorder="1" applyAlignment="1">
      <alignment horizontal="center"/>
    </xf>
    <xf numFmtId="0" fontId="0" fillId="0" borderId="78" xfId="0" applyBorder="1" applyAlignment="1">
      <alignment horizontal="center"/>
    </xf>
    <xf numFmtId="0" fontId="20" fillId="0" borderId="0" xfId="0" applyFont="1" applyAlignment="1">
      <alignment vertical="top" wrapText="1"/>
    </xf>
    <xf numFmtId="0" fontId="0" fillId="0" borderId="0" xfId="0" applyAlignment="1">
      <alignment wrapText="1"/>
    </xf>
    <xf numFmtId="0" fontId="0" fillId="0" borderId="10" xfId="0" applyBorder="1"/>
    <xf numFmtId="0" fontId="0" fillId="4" borderId="33" xfId="0" applyFill="1" applyBorder="1" applyAlignment="1" applyProtection="1">
      <alignment horizontal="left" shrinkToFit="1"/>
      <protection locked="0"/>
    </xf>
    <xf numFmtId="0" fontId="0" fillId="4" borderId="7" xfId="0" applyFill="1" applyBorder="1" applyAlignment="1" applyProtection="1">
      <alignment horizontal="left" shrinkToFit="1"/>
      <protection locked="0"/>
    </xf>
    <xf numFmtId="0" fontId="0" fillId="4" borderId="96" xfId="0" applyFill="1" applyBorder="1" applyAlignment="1" applyProtection="1">
      <alignment horizontal="left" shrinkToFit="1"/>
      <protection locked="0"/>
    </xf>
    <xf numFmtId="0" fontId="12" fillId="0" borderId="9" xfId="0" applyFont="1" applyBorder="1" applyAlignment="1">
      <alignment vertical="top" wrapText="1"/>
    </xf>
    <xf numFmtId="0" fontId="12" fillId="0" borderId="0" xfId="0" applyFont="1" applyAlignment="1">
      <alignment vertical="top" wrapText="1"/>
    </xf>
    <xf numFmtId="0" fontId="12" fillId="0" borderId="10" xfId="0" applyFont="1" applyBorder="1" applyAlignment="1">
      <alignment vertical="top" wrapText="1"/>
    </xf>
    <xf numFmtId="0" fontId="2" fillId="0" borderId="0" xfId="0" applyFont="1" applyAlignment="1">
      <alignment horizontal="left"/>
    </xf>
    <xf numFmtId="0" fontId="0" fillId="0" borderId="0" xfId="0" applyAlignment="1">
      <alignment horizontal="right"/>
    </xf>
    <xf numFmtId="0" fontId="0" fillId="12" borderId="31" xfId="0" applyFill="1" applyBorder="1" applyAlignment="1" applyProtection="1">
      <alignment horizontal="left" vertical="top" wrapText="1"/>
      <protection locked="0"/>
    </xf>
    <xf numFmtId="0" fontId="0" fillId="12" borderId="1" xfId="0" applyFill="1" applyBorder="1" applyAlignment="1" applyProtection="1">
      <alignment horizontal="left" vertical="top" wrapText="1"/>
      <protection locked="0"/>
    </xf>
    <xf numFmtId="0" fontId="0" fillId="12" borderId="34" xfId="0" applyFill="1" applyBorder="1" applyAlignment="1" applyProtection="1">
      <alignment horizontal="left" vertical="top" wrapText="1"/>
      <protection locked="0"/>
    </xf>
    <xf numFmtId="0" fontId="0" fillId="12" borderId="9" xfId="0" applyFill="1" applyBorder="1" applyAlignment="1" applyProtection="1">
      <alignment horizontal="left" vertical="top" wrapText="1"/>
      <protection locked="0"/>
    </xf>
    <xf numFmtId="0" fontId="0" fillId="12" borderId="0" xfId="0" applyFill="1" applyAlignment="1" applyProtection="1">
      <alignment horizontal="left" vertical="top" wrapText="1"/>
      <protection locked="0"/>
    </xf>
    <xf numFmtId="0" fontId="0" fillId="12" borderId="10" xfId="0" applyFill="1" applyBorder="1" applyAlignment="1" applyProtection="1">
      <alignment horizontal="left" vertical="top" wrapText="1"/>
      <protection locked="0"/>
    </xf>
    <xf numFmtId="0" fontId="0" fillId="12" borderId="19" xfId="0" applyFill="1" applyBorder="1" applyAlignment="1" applyProtection="1">
      <alignment horizontal="left" vertical="top" wrapText="1"/>
      <protection locked="0"/>
    </xf>
    <xf numFmtId="0" fontId="0" fillId="12" borderId="12" xfId="0" applyFill="1" applyBorder="1" applyAlignment="1" applyProtection="1">
      <alignment horizontal="left" vertical="top" wrapText="1"/>
      <protection locked="0"/>
    </xf>
    <xf numFmtId="0" fontId="0" fillId="12" borderId="13" xfId="0" applyFill="1" applyBorder="1" applyAlignment="1" applyProtection="1">
      <alignment horizontal="left" vertical="top" wrapText="1"/>
      <protection locked="0"/>
    </xf>
    <xf numFmtId="0" fontId="18" fillId="12" borderId="61" xfId="0" applyFont="1" applyFill="1" applyBorder="1" applyAlignment="1" applyProtection="1">
      <alignment horizontal="left" vertical="top" wrapText="1"/>
      <protection locked="0"/>
    </xf>
    <xf numFmtId="0" fontId="18" fillId="12" borderId="1" xfId="0" applyFont="1" applyFill="1" applyBorder="1" applyAlignment="1" applyProtection="1">
      <alignment horizontal="left" vertical="top" wrapText="1"/>
      <protection locked="0"/>
    </xf>
    <xf numFmtId="0" fontId="18" fillId="12" borderId="98" xfId="0" applyFont="1" applyFill="1" applyBorder="1" applyAlignment="1" applyProtection="1">
      <alignment horizontal="left" vertical="top" wrapText="1"/>
      <protection locked="0"/>
    </xf>
    <xf numFmtId="0" fontId="18" fillId="12" borderId="15" xfId="0" applyFont="1" applyFill="1" applyBorder="1" applyAlignment="1" applyProtection="1">
      <alignment horizontal="left" vertical="top" wrapText="1"/>
      <protection locked="0"/>
    </xf>
    <xf numFmtId="0" fontId="18" fillId="12" borderId="0" xfId="0" applyFont="1" applyFill="1" applyAlignment="1" applyProtection="1">
      <alignment horizontal="left" vertical="top" wrapText="1"/>
      <protection locked="0"/>
    </xf>
    <xf numFmtId="0" fontId="18" fillId="12" borderId="3" xfId="0" applyFont="1" applyFill="1" applyBorder="1" applyAlignment="1" applyProtection="1">
      <alignment horizontal="left" vertical="top" wrapText="1"/>
      <protection locked="0"/>
    </xf>
    <xf numFmtId="0" fontId="18" fillId="12" borderId="99" xfId="0" applyFont="1" applyFill="1" applyBorder="1" applyAlignment="1" applyProtection="1">
      <alignment horizontal="left" vertical="top" wrapText="1"/>
      <protection locked="0"/>
    </xf>
    <xf numFmtId="0" fontId="18" fillId="12" borderId="100" xfId="0" applyFont="1" applyFill="1" applyBorder="1" applyAlignment="1" applyProtection="1">
      <alignment horizontal="left" vertical="top" wrapText="1"/>
      <protection locked="0"/>
    </xf>
    <xf numFmtId="0" fontId="18" fillId="12" borderId="101" xfId="0" applyFont="1" applyFill="1" applyBorder="1" applyAlignment="1" applyProtection="1">
      <alignment horizontal="left" vertical="top" wrapText="1"/>
      <protection locked="0"/>
    </xf>
    <xf numFmtId="0" fontId="18" fillId="12" borderId="9" xfId="0" applyFont="1" applyFill="1" applyBorder="1" applyAlignment="1" applyProtection="1">
      <alignment horizontal="left" vertical="top" wrapText="1"/>
      <protection locked="0"/>
    </xf>
    <xf numFmtId="0" fontId="18" fillId="12" borderId="10" xfId="0" applyFont="1" applyFill="1" applyBorder="1" applyAlignment="1" applyProtection="1">
      <alignment horizontal="left" vertical="top" wrapText="1"/>
      <protection locked="0"/>
    </xf>
    <xf numFmtId="0" fontId="18" fillId="12" borderId="19" xfId="0" applyFont="1" applyFill="1" applyBorder="1" applyAlignment="1" applyProtection="1">
      <alignment horizontal="left" vertical="top" wrapText="1"/>
      <protection locked="0"/>
    </xf>
    <xf numFmtId="0" fontId="18" fillId="12" borderId="12" xfId="0" applyFont="1" applyFill="1" applyBorder="1" applyAlignment="1" applyProtection="1">
      <alignment horizontal="left" vertical="top" wrapText="1"/>
      <protection locked="0"/>
    </xf>
    <xf numFmtId="0" fontId="18" fillId="12" borderId="13" xfId="0" applyFont="1" applyFill="1" applyBorder="1" applyAlignment="1" applyProtection="1">
      <alignment horizontal="left" vertical="top" wrapText="1"/>
      <protection locked="0"/>
    </xf>
    <xf numFmtId="0" fontId="0" fillId="4" borderId="45" xfId="0" applyFill="1" applyBorder="1" applyAlignment="1" applyProtection="1">
      <alignment horizontal="center" vertical="center" shrinkToFit="1"/>
      <protection locked="0"/>
    </xf>
    <xf numFmtId="0" fontId="0" fillId="4" borderId="48" xfId="0" applyFill="1" applyBorder="1" applyAlignment="1" applyProtection="1">
      <alignment horizontal="center" vertical="center" shrinkToFit="1"/>
      <protection locked="0"/>
    </xf>
    <xf numFmtId="0" fontId="6" fillId="12" borderId="22" xfId="0" applyFont="1" applyFill="1" applyBorder="1" applyAlignment="1" applyProtection="1">
      <alignment horizontal="left" vertical="top" wrapText="1"/>
      <protection locked="0"/>
    </xf>
    <xf numFmtId="0" fontId="6" fillId="12" borderId="17" xfId="0" applyFont="1" applyFill="1" applyBorder="1" applyAlignment="1" applyProtection="1">
      <alignment horizontal="left" vertical="top" wrapText="1"/>
      <protection locked="0"/>
    </xf>
    <xf numFmtId="0" fontId="6" fillId="12" borderId="30" xfId="0" applyFont="1" applyFill="1" applyBorder="1" applyAlignment="1" applyProtection="1">
      <alignment horizontal="left" vertical="top" wrapText="1"/>
      <protection locked="0"/>
    </xf>
    <xf numFmtId="0" fontId="6" fillId="12" borderId="9" xfId="0" applyFont="1" applyFill="1" applyBorder="1" applyAlignment="1" applyProtection="1">
      <alignment horizontal="left" vertical="top" wrapText="1"/>
      <protection locked="0"/>
    </xf>
    <xf numFmtId="0" fontId="6" fillId="12" borderId="0" xfId="0" applyFont="1" applyFill="1" applyAlignment="1" applyProtection="1">
      <alignment horizontal="left" vertical="top" wrapText="1"/>
      <protection locked="0"/>
    </xf>
    <xf numFmtId="0" fontId="6" fillId="12" borderId="10" xfId="0" applyFont="1" applyFill="1" applyBorder="1" applyAlignment="1" applyProtection="1">
      <alignment horizontal="left" vertical="top" wrapText="1"/>
      <protection locked="0"/>
    </xf>
    <xf numFmtId="0" fontId="6" fillId="12" borderId="19" xfId="0" applyFont="1" applyFill="1" applyBorder="1" applyAlignment="1" applyProtection="1">
      <alignment horizontal="left" vertical="top" wrapText="1"/>
      <protection locked="0"/>
    </xf>
    <xf numFmtId="0" fontId="6" fillId="12" borderId="12" xfId="0" applyFont="1" applyFill="1" applyBorder="1" applyAlignment="1" applyProtection="1">
      <alignment horizontal="left" vertical="top" wrapText="1"/>
      <protection locked="0"/>
    </xf>
    <xf numFmtId="0" fontId="6" fillId="12" borderId="13" xfId="0" applyFont="1" applyFill="1" applyBorder="1" applyAlignment="1" applyProtection="1">
      <alignment horizontal="left" vertical="top" wrapText="1"/>
      <protection locked="0"/>
    </xf>
    <xf numFmtId="0" fontId="6" fillId="0" borderId="78" xfId="0" applyFont="1" applyBorder="1" applyAlignment="1">
      <alignment horizontal="center"/>
    </xf>
    <xf numFmtId="0" fontId="20" fillId="4" borderId="33" xfId="0" applyFont="1" applyFill="1" applyBorder="1" applyAlignment="1" applyProtection="1">
      <alignment horizontal="left" shrinkToFit="1"/>
      <protection locked="0"/>
    </xf>
    <xf numFmtId="0" fontId="20" fillId="4" borderId="7" xfId="0" applyFont="1" applyFill="1" applyBorder="1" applyAlignment="1" applyProtection="1">
      <alignment horizontal="left" shrinkToFit="1"/>
      <protection locked="0"/>
    </xf>
    <xf numFmtId="0" fontId="20" fillId="4" borderId="8" xfId="0" applyFont="1" applyFill="1" applyBorder="1" applyAlignment="1" applyProtection="1">
      <alignment horizontal="left" shrinkToFit="1"/>
      <protection locked="0"/>
    </xf>
    <xf numFmtId="164" fontId="0" fillId="4" borderId="87" xfId="0" applyNumberFormat="1" applyFill="1" applyBorder="1" applyAlignment="1" applyProtection="1">
      <alignment shrinkToFit="1"/>
      <protection locked="0"/>
    </xf>
    <xf numFmtId="164" fontId="0" fillId="4" borderId="7" xfId="0" applyNumberFormat="1" applyFill="1" applyBorder="1" applyAlignment="1" applyProtection="1">
      <alignment shrinkToFit="1"/>
      <protection locked="0"/>
    </xf>
    <xf numFmtId="164" fontId="0" fillId="4" borderId="25" xfId="0" applyNumberFormat="1" applyFill="1" applyBorder="1" applyAlignment="1" applyProtection="1">
      <alignment shrinkToFit="1"/>
      <protection locked="0"/>
    </xf>
    <xf numFmtId="0" fontId="0" fillId="4" borderId="96" xfId="0" applyFill="1" applyBorder="1" applyAlignment="1" applyProtection="1">
      <alignment horizontal="center" shrinkToFit="1"/>
      <protection locked="0"/>
    </xf>
    <xf numFmtId="164" fontId="0" fillId="4" borderId="96" xfId="0" applyNumberFormat="1" applyFill="1" applyBorder="1" applyAlignment="1" applyProtection="1">
      <alignment shrinkToFit="1"/>
      <protection locked="0"/>
    </xf>
    <xf numFmtId="164" fontId="0" fillId="4" borderId="18" xfId="0" applyNumberFormat="1" applyFill="1" applyBorder="1" applyAlignment="1" applyProtection="1">
      <alignment shrinkToFit="1"/>
      <protection locked="0"/>
    </xf>
    <xf numFmtId="0" fontId="0" fillId="4" borderId="33" xfId="0" applyFill="1" applyBorder="1" applyAlignment="1" applyProtection="1">
      <alignment horizontal="center" vertical="top" shrinkToFit="1"/>
      <protection locked="0"/>
    </xf>
    <xf numFmtId="0" fontId="0" fillId="4" borderId="7" xfId="0" applyFill="1" applyBorder="1" applyAlignment="1" applyProtection="1">
      <alignment horizontal="center" vertical="top" shrinkToFit="1"/>
      <protection locked="0"/>
    </xf>
    <xf numFmtId="0" fontId="0" fillId="4" borderId="96" xfId="0" applyFill="1" applyBorder="1" applyAlignment="1" applyProtection="1">
      <alignment horizontal="center" vertical="top" shrinkToFit="1"/>
      <protection locked="0"/>
    </xf>
    <xf numFmtId="164" fontId="0" fillId="0" borderId="29" xfId="0" applyNumberFormat="1" applyBorder="1" applyAlignment="1">
      <alignment horizontal="right"/>
    </xf>
    <xf numFmtId="164" fontId="0" fillId="0" borderId="21" xfId="0" applyNumberFormat="1" applyBorder="1" applyAlignment="1">
      <alignment horizontal="right"/>
    </xf>
    <xf numFmtId="164" fontId="0" fillId="0" borderId="32" xfId="0" applyNumberFormat="1" applyBorder="1" applyAlignment="1">
      <alignment horizontal="right"/>
    </xf>
    <xf numFmtId="164" fontId="0" fillId="4" borderId="97" xfId="0" applyNumberFormat="1" applyFill="1" applyBorder="1" applyAlignment="1" applyProtection="1">
      <alignment shrinkToFit="1"/>
      <protection locked="0"/>
    </xf>
    <xf numFmtId="164" fontId="0" fillId="4" borderId="1" xfId="0" applyNumberFormat="1" applyFill="1" applyBorder="1" applyAlignment="1" applyProtection="1">
      <alignment shrinkToFit="1"/>
      <protection locked="0"/>
    </xf>
    <xf numFmtId="164" fontId="0" fillId="4" borderId="34" xfId="0" applyNumberFormat="1" applyFill="1" applyBorder="1" applyAlignment="1" applyProtection="1">
      <alignment shrinkToFit="1"/>
      <protection locked="0"/>
    </xf>
    <xf numFmtId="0" fontId="0" fillId="4" borderId="8" xfId="0" applyFill="1" applyBorder="1" applyAlignment="1" applyProtection="1">
      <alignment horizontal="left" shrinkToFit="1"/>
      <protection locked="0"/>
    </xf>
    <xf numFmtId="0" fontId="0" fillId="0" borderId="8" xfId="0" applyBorder="1" applyAlignment="1" applyProtection="1">
      <alignment shrinkToFit="1"/>
      <protection locked="0"/>
    </xf>
    <xf numFmtId="164" fontId="0" fillId="4" borderId="98" xfId="0" applyNumberFormat="1" applyFill="1" applyBorder="1" applyAlignment="1" applyProtection="1">
      <alignment shrinkToFit="1"/>
      <protection locked="0"/>
    </xf>
    <xf numFmtId="164" fontId="0" fillId="4" borderId="31" xfId="0" applyNumberFormat="1" applyFill="1" applyBorder="1" applyAlignment="1" applyProtection="1">
      <alignment shrinkToFit="1"/>
      <protection locked="0"/>
    </xf>
    <xf numFmtId="0" fontId="48" fillId="0" borderId="94" xfId="0" applyFont="1" applyBorder="1" applyAlignment="1">
      <alignment horizontal="center"/>
    </xf>
    <xf numFmtId="0" fontId="0" fillId="0" borderId="44" xfId="0" applyBorder="1" applyAlignment="1">
      <alignment horizontal="center"/>
    </xf>
    <xf numFmtId="0" fontId="12" fillId="0" borderId="75" xfId="0" applyFont="1" applyBorder="1" applyAlignment="1">
      <alignment horizontal="center" vertical="top"/>
    </xf>
    <xf numFmtId="169" fontId="12" fillId="0" borderId="73" xfId="0" applyNumberFormat="1" applyFont="1" applyBorder="1" applyAlignment="1">
      <alignment horizontal="right"/>
    </xf>
    <xf numFmtId="0" fontId="0" fillId="0" borderId="57" xfId="0" applyBorder="1"/>
    <xf numFmtId="0" fontId="0" fillId="4" borderId="18" xfId="0" applyFill="1" applyBorder="1" applyAlignment="1" applyProtection="1">
      <alignment shrinkToFit="1"/>
      <protection locked="0"/>
    </xf>
    <xf numFmtId="0" fontId="0" fillId="4" borderId="7" xfId="0" applyFill="1" applyBorder="1" applyAlignment="1" applyProtection="1">
      <alignment shrinkToFit="1"/>
      <protection locked="0"/>
    </xf>
    <xf numFmtId="0" fontId="0" fillId="4" borderId="96" xfId="0" applyFill="1" applyBorder="1" applyAlignment="1" applyProtection="1">
      <alignment shrinkToFit="1"/>
      <protection locked="0"/>
    </xf>
    <xf numFmtId="3" fontId="0" fillId="4" borderId="87" xfId="0" applyNumberFormat="1" applyFill="1" applyBorder="1" applyAlignment="1" applyProtection="1">
      <alignment horizontal="center" shrinkToFit="1"/>
      <protection locked="0"/>
    </xf>
    <xf numFmtId="3" fontId="0" fillId="4" borderId="7" xfId="0" applyNumberFormat="1" applyFill="1" applyBorder="1" applyAlignment="1" applyProtection="1">
      <alignment horizontal="center" shrinkToFit="1"/>
      <protection locked="0"/>
    </xf>
    <xf numFmtId="3" fontId="0" fillId="4" borderId="96" xfId="0" applyNumberFormat="1" applyFill="1" applyBorder="1" applyAlignment="1" applyProtection="1">
      <alignment horizontal="center" shrinkToFit="1"/>
      <protection locked="0"/>
    </xf>
    <xf numFmtId="169" fontId="0" fillId="4" borderId="87" xfId="0" applyNumberFormat="1" applyFill="1" applyBorder="1" applyAlignment="1" applyProtection="1">
      <alignment horizontal="right" shrinkToFit="1"/>
      <protection locked="0"/>
    </xf>
    <xf numFmtId="169" fontId="0" fillId="4" borderId="7" xfId="0" applyNumberFormat="1" applyFill="1" applyBorder="1" applyAlignment="1" applyProtection="1">
      <alignment horizontal="right" shrinkToFit="1"/>
      <protection locked="0"/>
    </xf>
    <xf numFmtId="169" fontId="0" fillId="4" borderId="96" xfId="0" applyNumberFormat="1" applyFill="1" applyBorder="1" applyAlignment="1" applyProtection="1">
      <alignment horizontal="right" shrinkToFit="1"/>
      <protection locked="0"/>
    </xf>
    <xf numFmtId="164" fontId="0" fillId="0" borderId="97" xfId="0" applyNumberFormat="1" applyBorder="1" applyAlignment="1">
      <alignment horizontal="right" shrinkToFit="1"/>
    </xf>
    <xf numFmtId="164" fontId="0" fillId="0" borderId="1" xfId="0" applyNumberFormat="1" applyBorder="1" applyAlignment="1">
      <alignment horizontal="right" shrinkToFit="1"/>
    </xf>
    <xf numFmtId="164" fontId="0" fillId="0" borderId="34" xfId="0" applyNumberFormat="1" applyBorder="1" applyAlignment="1">
      <alignment horizontal="right" shrinkToFit="1"/>
    </xf>
    <xf numFmtId="164" fontId="0" fillId="0" borderId="29" xfId="0" applyNumberFormat="1" applyBorder="1"/>
    <xf numFmtId="164" fontId="0" fillId="0" borderId="21" xfId="0" applyNumberFormat="1" applyBorder="1"/>
    <xf numFmtId="164" fontId="0" fillId="0" borderId="32" xfId="0" applyNumberFormat="1" applyBorder="1"/>
    <xf numFmtId="0" fontId="20" fillId="4" borderId="96" xfId="0" applyFont="1" applyFill="1" applyBorder="1" applyAlignment="1" applyProtection="1">
      <alignment horizontal="left" shrinkToFit="1"/>
      <protection locked="0"/>
    </xf>
    <xf numFmtId="0" fontId="12" fillId="0" borderId="0" xfId="0" applyFont="1" applyAlignment="1">
      <alignment horizontal="center"/>
    </xf>
    <xf numFmtId="0" fontId="0" fillId="0" borderId="4" xfId="0" applyBorder="1" applyAlignment="1">
      <alignment horizontal="center"/>
    </xf>
    <xf numFmtId="164" fontId="0" fillId="0" borderId="87" xfId="0" applyNumberFormat="1" applyBorder="1" applyAlignment="1">
      <alignment horizontal="right" shrinkToFit="1"/>
    </xf>
    <xf numFmtId="164" fontId="0" fillId="0" borderId="7" xfId="0" applyNumberFormat="1" applyBorder="1" applyAlignment="1">
      <alignment horizontal="right" shrinkToFit="1"/>
    </xf>
    <xf numFmtId="164" fontId="0" fillId="0" borderId="25" xfId="0" applyNumberFormat="1" applyBorder="1" applyAlignment="1">
      <alignment horizontal="right" shrinkToFit="1"/>
    </xf>
    <xf numFmtId="0" fontId="0" fillId="4" borderId="62" xfId="0" applyFill="1" applyBorder="1" applyAlignment="1" applyProtection="1">
      <alignment horizontal="left" shrinkToFit="1"/>
      <protection locked="0"/>
    </xf>
    <xf numFmtId="0" fontId="0" fillId="0" borderId="57" xfId="0" applyBorder="1" applyAlignment="1" applyProtection="1">
      <alignment shrinkToFit="1"/>
      <protection locked="0"/>
    </xf>
    <xf numFmtId="0" fontId="0" fillId="0" borderId="70" xfId="0" applyBorder="1" applyAlignment="1" applyProtection="1">
      <alignment shrinkToFit="1"/>
      <protection locked="0"/>
    </xf>
    <xf numFmtId="0" fontId="12" fillId="0" borderId="43" xfId="0" applyFont="1" applyBorder="1" applyAlignment="1">
      <alignment horizontal="center" vertical="top"/>
    </xf>
    <xf numFmtId="0" fontId="12" fillId="0" borderId="95" xfId="0" applyFont="1" applyBorder="1" applyAlignment="1">
      <alignment horizontal="center" vertical="top"/>
    </xf>
    <xf numFmtId="178" fontId="0" fillId="4" borderId="33" xfId="0" applyNumberFormat="1" applyFill="1" applyBorder="1" applyAlignment="1" applyProtection="1">
      <alignment horizontal="center" vertical="center" shrinkToFit="1"/>
      <protection locked="0"/>
    </xf>
    <xf numFmtId="178" fontId="0" fillId="0" borderId="7" xfId="0" applyNumberFormat="1" applyBorder="1" applyAlignment="1" applyProtection="1">
      <alignment horizontal="center" vertical="center" shrinkToFit="1"/>
      <protection locked="0"/>
    </xf>
    <xf numFmtId="178" fontId="0" fillId="0" borderId="8" xfId="0" applyNumberFormat="1" applyBorder="1" applyAlignment="1" applyProtection="1">
      <alignment horizontal="center" vertical="center" shrinkToFit="1"/>
      <protection locked="0"/>
    </xf>
    <xf numFmtId="3" fontId="0" fillId="0" borderId="33" xfId="0" applyNumberFormat="1" applyBorder="1" applyAlignment="1">
      <alignment horizontal="right"/>
    </xf>
    <xf numFmtId="3" fontId="0" fillId="0" borderId="7" xfId="0" applyNumberFormat="1" applyBorder="1" applyAlignment="1">
      <alignment horizontal="right"/>
    </xf>
    <xf numFmtId="3" fontId="0" fillId="0" borderId="96" xfId="0" applyNumberFormat="1" applyBorder="1" applyAlignment="1">
      <alignment horizontal="right"/>
    </xf>
    <xf numFmtId="164" fontId="0" fillId="0" borderId="29" xfId="0" applyNumberFormat="1" applyBorder="1" applyAlignment="1">
      <alignment horizontal="right" shrinkToFit="1"/>
    </xf>
    <xf numFmtId="164" fontId="0" fillId="0" borderId="21" xfId="0" applyNumberFormat="1" applyBorder="1" applyAlignment="1">
      <alignment horizontal="right" shrinkToFit="1"/>
    </xf>
    <xf numFmtId="164" fontId="0" fillId="0" borderId="32" xfId="0" applyNumberFormat="1" applyBorder="1" applyAlignment="1">
      <alignment horizontal="right" shrinkToFit="1"/>
    </xf>
    <xf numFmtId="164" fontId="0" fillId="4" borderId="61" xfId="0" applyNumberFormat="1" applyFill="1" applyBorder="1" applyAlignment="1" applyProtection="1">
      <alignment horizontal="right" shrinkToFit="1"/>
      <protection locked="0"/>
    </xf>
    <xf numFmtId="164" fontId="0" fillId="4" borderId="1" xfId="0" applyNumberFormat="1" applyFill="1" applyBorder="1" applyAlignment="1" applyProtection="1">
      <alignment horizontal="right" shrinkToFit="1"/>
      <protection locked="0"/>
    </xf>
    <xf numFmtId="164" fontId="0" fillId="4" borderId="98" xfId="0" applyNumberFormat="1" applyFill="1" applyBorder="1" applyAlignment="1" applyProtection="1">
      <alignment horizontal="right" shrinkToFit="1"/>
      <protection locked="0"/>
    </xf>
    <xf numFmtId="0" fontId="0" fillId="0" borderId="7" xfId="0" applyBorder="1" applyAlignment="1">
      <alignment horizontal="right"/>
    </xf>
    <xf numFmtId="0" fontId="0" fillId="0" borderId="96" xfId="0" applyBorder="1" applyAlignment="1">
      <alignment horizontal="right"/>
    </xf>
    <xf numFmtId="169" fontId="0" fillId="4" borderId="61" xfId="0" applyNumberFormat="1" applyFill="1" applyBorder="1" applyAlignment="1" applyProtection="1">
      <alignment horizontal="right" shrinkToFit="1"/>
      <protection locked="0"/>
    </xf>
    <xf numFmtId="169" fontId="0" fillId="4" borderId="1" xfId="0" applyNumberFormat="1" applyFill="1" applyBorder="1" applyAlignment="1" applyProtection="1">
      <alignment horizontal="right" shrinkToFit="1"/>
      <protection locked="0"/>
    </xf>
    <xf numFmtId="169" fontId="0" fillId="4" borderId="98" xfId="0" applyNumberFormat="1" applyFill="1" applyBorder="1" applyAlignment="1" applyProtection="1">
      <alignment horizontal="right" shrinkToFit="1"/>
      <protection locked="0"/>
    </xf>
    <xf numFmtId="0" fontId="0" fillId="4" borderId="8" xfId="0" applyFill="1" applyBorder="1" applyAlignment="1" applyProtection="1">
      <alignment shrinkToFit="1"/>
      <protection locked="0"/>
    </xf>
    <xf numFmtId="3" fontId="0" fillId="0" borderId="29" xfId="0" applyNumberFormat="1" applyBorder="1" applyAlignment="1">
      <alignment horizontal="center"/>
    </xf>
    <xf numFmtId="3" fontId="0" fillId="0" borderId="21" xfId="0" applyNumberFormat="1" applyBorder="1" applyAlignment="1">
      <alignment horizontal="center"/>
    </xf>
    <xf numFmtId="3" fontId="0" fillId="0" borderId="32" xfId="0" applyNumberFormat="1" applyBorder="1" applyAlignment="1">
      <alignment horizontal="center"/>
    </xf>
    <xf numFmtId="0" fontId="12" fillId="0" borderId="0" xfId="0" applyFont="1" applyAlignment="1">
      <alignment horizontal="right"/>
    </xf>
    <xf numFmtId="169" fontId="0" fillId="0" borderId="0" xfId="0" applyNumberFormat="1" applyAlignment="1">
      <alignment horizontal="right"/>
    </xf>
    <xf numFmtId="169" fontId="0" fillId="0" borderId="10" xfId="0" applyNumberFormat="1" applyBorder="1" applyAlignment="1">
      <alignment horizontal="right"/>
    </xf>
    <xf numFmtId="0" fontId="0" fillId="4" borderId="33" xfId="0" applyFill="1" applyBorder="1" applyAlignment="1" applyProtection="1">
      <alignment horizontal="right" shrinkToFit="1"/>
      <protection locked="0"/>
    </xf>
    <xf numFmtId="0" fontId="0" fillId="4" borderId="7" xfId="0" applyFill="1" applyBorder="1" applyAlignment="1" applyProtection="1">
      <alignment horizontal="right" shrinkToFit="1"/>
      <protection locked="0"/>
    </xf>
    <xf numFmtId="0" fontId="0" fillId="4" borderId="96" xfId="0" applyFill="1" applyBorder="1" applyAlignment="1" applyProtection="1">
      <alignment horizontal="right" shrinkToFit="1"/>
      <protection locked="0"/>
    </xf>
    <xf numFmtId="0" fontId="12" fillId="0" borderId="75" xfId="0" applyFont="1" applyBorder="1" applyAlignment="1">
      <alignment horizontal="center"/>
    </xf>
    <xf numFmtId="0" fontId="12" fillId="0" borderId="95" xfId="0" applyFont="1" applyBorder="1" applyAlignment="1">
      <alignment horizontal="center"/>
    </xf>
    <xf numFmtId="0" fontId="12" fillId="0" borderId="94" xfId="0" applyFont="1" applyBorder="1" applyAlignment="1">
      <alignment horizontal="center"/>
    </xf>
    <xf numFmtId="0" fontId="28" fillId="2" borderId="38" xfId="0" applyFont="1" applyFill="1" applyBorder="1"/>
    <xf numFmtId="0" fontId="45" fillId="0" borderId="6" xfId="0" applyFont="1" applyBorder="1"/>
    <xf numFmtId="0" fontId="45" fillId="0" borderId="7" xfId="0" applyFont="1" applyBorder="1"/>
    <xf numFmtId="0" fontId="45" fillId="0" borderId="37" xfId="0" applyFont="1" applyBorder="1"/>
    <xf numFmtId="3" fontId="0" fillId="0" borderId="0" xfId="0" applyNumberFormat="1"/>
    <xf numFmtId="1" fontId="0" fillId="4" borderId="61" xfId="0" applyNumberFormat="1" applyFill="1" applyBorder="1" applyAlignment="1" applyProtection="1">
      <alignment horizontal="center" vertical="center" wrapText="1"/>
      <protection locked="0"/>
    </xf>
    <xf numFmtId="1" fontId="0" fillId="4" borderId="1" xfId="0" applyNumberFormat="1" applyFill="1" applyBorder="1" applyAlignment="1" applyProtection="1">
      <alignment horizontal="center" vertical="center" wrapText="1"/>
      <protection locked="0"/>
    </xf>
    <xf numFmtId="1" fontId="0" fillId="4" borderId="98" xfId="0" applyNumberFormat="1" applyFill="1" applyBorder="1" applyAlignment="1" applyProtection="1">
      <alignment horizontal="center" vertical="center" wrapText="1"/>
      <protection locked="0"/>
    </xf>
    <xf numFmtId="1" fontId="0" fillId="4" borderId="99" xfId="0" applyNumberFormat="1" applyFill="1" applyBorder="1" applyAlignment="1" applyProtection="1">
      <alignment horizontal="center" vertical="center" wrapText="1"/>
      <protection locked="0"/>
    </xf>
    <xf numFmtId="1" fontId="0" fillId="4" borderId="100" xfId="0" applyNumberFormat="1" applyFill="1" applyBorder="1" applyAlignment="1" applyProtection="1">
      <alignment horizontal="center" vertical="center" wrapText="1"/>
      <protection locked="0"/>
    </xf>
    <xf numFmtId="1" fontId="0" fillId="4" borderId="101" xfId="0" applyNumberFormat="1" applyFill="1" applyBorder="1" applyAlignment="1" applyProtection="1">
      <alignment horizontal="center" vertical="center" wrapText="1"/>
      <protection locked="0"/>
    </xf>
    <xf numFmtId="0" fontId="28" fillId="2" borderId="17" xfId="0" applyFont="1" applyFill="1" applyBorder="1" applyAlignment="1">
      <alignment horizontal="center"/>
    </xf>
    <xf numFmtId="3" fontId="0" fillId="4" borderId="33" xfId="0" applyNumberFormat="1" applyFill="1" applyBorder="1" applyAlignment="1" applyProtection="1">
      <alignment horizontal="center" shrinkToFit="1"/>
      <protection locked="0"/>
    </xf>
    <xf numFmtId="0" fontId="28" fillId="2" borderId="22" xfId="0" applyFont="1" applyFill="1" applyBorder="1" applyAlignment="1">
      <alignment horizontal="center"/>
    </xf>
    <xf numFmtId="0" fontId="28" fillId="2" borderId="30" xfId="0" applyFont="1" applyFill="1" applyBorder="1" applyAlignment="1">
      <alignment horizontal="center"/>
    </xf>
    <xf numFmtId="0" fontId="12" fillId="0" borderId="22" xfId="0" applyFont="1" applyBorder="1"/>
    <xf numFmtId="0" fontId="12" fillId="0" borderId="17" xfId="0" applyFont="1" applyBorder="1"/>
    <xf numFmtId="0" fontId="0" fillId="0" borderId="17" xfId="0" applyBorder="1"/>
    <xf numFmtId="0" fontId="45" fillId="0" borderId="17" xfId="0" applyFont="1" applyBorder="1" applyAlignment="1">
      <alignment horizontal="center"/>
    </xf>
    <xf numFmtId="0" fontId="45" fillId="0" borderId="30" xfId="0" applyFont="1" applyBorder="1" applyAlignment="1">
      <alignment horizontal="center"/>
    </xf>
    <xf numFmtId="0" fontId="0" fillId="12" borderId="22" xfId="0" applyFill="1" applyBorder="1" applyAlignment="1" applyProtection="1">
      <alignment horizontal="left" vertical="top" wrapText="1"/>
      <protection locked="0"/>
    </xf>
    <xf numFmtId="0" fontId="0" fillId="12" borderId="17" xfId="0" applyFill="1" applyBorder="1" applyAlignment="1" applyProtection="1">
      <alignment horizontal="left" vertical="top" wrapText="1"/>
      <protection locked="0"/>
    </xf>
    <xf numFmtId="0" fontId="0" fillId="12" borderId="30" xfId="0" applyFill="1" applyBorder="1" applyAlignment="1" applyProtection="1">
      <alignment horizontal="left" vertical="top" wrapText="1"/>
      <protection locked="0"/>
    </xf>
    <xf numFmtId="3" fontId="0" fillId="4" borderId="16" xfId="0" applyNumberFormat="1" applyFill="1" applyBorder="1" applyAlignment="1" applyProtection="1">
      <alignment horizontal="center" shrinkToFit="1"/>
      <protection locked="0"/>
    </xf>
    <xf numFmtId="3" fontId="0" fillId="4" borderId="6" xfId="0" applyNumberFormat="1" applyFill="1" applyBorder="1" applyAlignment="1" applyProtection="1">
      <alignment horizontal="center" shrinkToFit="1"/>
      <protection locked="0"/>
    </xf>
    <xf numFmtId="3" fontId="0" fillId="4" borderId="14" xfId="0" applyNumberFormat="1" applyFill="1" applyBorder="1" applyAlignment="1" applyProtection="1">
      <alignment horizontal="center" shrinkToFit="1"/>
      <protection locked="0"/>
    </xf>
    <xf numFmtId="3" fontId="0" fillId="4" borderId="1" xfId="0" applyNumberFormat="1" applyFill="1" applyBorder="1" applyAlignment="1" applyProtection="1">
      <alignment horizontal="center" shrinkToFit="1"/>
      <protection locked="0"/>
    </xf>
    <xf numFmtId="3" fontId="0" fillId="4" borderId="98" xfId="0" applyNumberFormat="1" applyFill="1" applyBorder="1" applyAlignment="1" applyProtection="1">
      <alignment horizontal="center" shrinkToFit="1"/>
      <protection locked="0"/>
    </xf>
    <xf numFmtId="3" fontId="0" fillId="4" borderId="61" xfId="0" applyNumberFormat="1" applyFill="1" applyBorder="1" applyAlignment="1" applyProtection="1">
      <alignment horizontal="center" shrinkToFit="1"/>
      <protection locked="0"/>
    </xf>
    <xf numFmtId="0" fontId="106" fillId="0" borderId="0" xfId="0" applyFont="1" applyAlignment="1">
      <alignment horizontal="center" vertical="center" wrapText="1"/>
    </xf>
    <xf numFmtId="0" fontId="106" fillId="0" borderId="10" xfId="0" applyFont="1" applyBorder="1" applyAlignment="1">
      <alignment horizontal="center" vertical="center" wrapText="1"/>
    </xf>
    <xf numFmtId="0" fontId="106" fillId="0" borderId="6" xfId="0" applyFont="1" applyBorder="1" applyAlignment="1">
      <alignment horizontal="center" vertical="center" wrapText="1"/>
    </xf>
    <xf numFmtId="0" fontId="106" fillId="0" borderId="37" xfId="0" applyFont="1" applyBorder="1" applyAlignment="1">
      <alignment horizontal="center" vertical="center" wrapText="1"/>
    </xf>
    <xf numFmtId="0" fontId="12" fillId="0" borderId="42" xfId="71" applyFont="1" applyBorder="1" applyAlignment="1">
      <alignment horizontal="left"/>
    </xf>
    <xf numFmtId="0" fontId="12" fillId="0" borderId="44" xfId="71" applyFont="1" applyBorder="1" applyAlignment="1">
      <alignment horizontal="left"/>
    </xf>
    <xf numFmtId="0" fontId="19" fillId="0" borderId="22" xfId="0" applyFont="1" applyBorder="1" applyAlignment="1">
      <alignment horizontal="left"/>
    </xf>
    <xf numFmtId="0" fontId="19" fillId="0" borderId="17" xfId="0" applyFont="1" applyBorder="1" applyAlignment="1">
      <alignment horizontal="left"/>
    </xf>
    <xf numFmtId="0" fontId="19" fillId="0" borderId="30" xfId="0" applyFont="1" applyBorder="1" applyAlignment="1">
      <alignment horizontal="left"/>
    </xf>
    <xf numFmtId="0" fontId="12" fillId="0" borderId="82" xfId="71" applyFont="1" applyBorder="1" applyAlignment="1">
      <alignment horizontal="center" vertical="center" wrapText="1"/>
    </xf>
    <xf numFmtId="0" fontId="0" fillId="0" borderId="26" xfId="0" applyBorder="1" applyAlignment="1">
      <alignment horizontal="center" vertical="center" wrapText="1"/>
    </xf>
    <xf numFmtId="0" fontId="0" fillId="0" borderId="50" xfId="0" applyBorder="1" applyAlignment="1">
      <alignment horizontal="center" vertical="center" wrapText="1"/>
    </xf>
    <xf numFmtId="0" fontId="12" fillId="0" borderId="72" xfId="71" applyFont="1" applyBorder="1" applyAlignment="1">
      <alignment horizontal="center" vertical="center" wrapText="1"/>
    </xf>
    <xf numFmtId="0" fontId="12" fillId="0" borderId="27" xfId="71" applyFont="1" applyBorder="1" applyAlignment="1">
      <alignment horizontal="center" vertical="center" wrapText="1"/>
    </xf>
    <xf numFmtId="0" fontId="12" fillId="0" borderId="45" xfId="71" applyFont="1" applyBorder="1" applyAlignment="1">
      <alignment horizontal="center" vertical="center" wrapText="1"/>
    </xf>
    <xf numFmtId="0" fontId="100" fillId="0" borderId="9" xfId="0" applyFont="1" applyBorder="1" applyAlignment="1">
      <alignment horizontal="center" vertical="top" wrapText="1"/>
    </xf>
    <xf numFmtId="0" fontId="100" fillId="0" borderId="0" xfId="0" applyFont="1" applyAlignment="1">
      <alignment horizontal="center" vertical="top" wrapText="1"/>
    </xf>
    <xf numFmtId="0" fontId="100" fillId="0" borderId="10" xfId="0" applyFont="1" applyBorder="1" applyAlignment="1">
      <alignment horizontal="center" vertical="top" wrapText="1"/>
    </xf>
    <xf numFmtId="0" fontId="0" fillId="0" borderId="27" xfId="0" applyBorder="1" applyAlignment="1">
      <alignment horizontal="center" vertical="center" wrapText="1"/>
    </xf>
    <xf numFmtId="0" fontId="0" fillId="0" borderId="45" xfId="0" applyBorder="1" applyAlignment="1">
      <alignment horizontal="center" vertical="center" wrapText="1"/>
    </xf>
    <xf numFmtId="10" fontId="107" fillId="0" borderId="31" xfId="1" applyNumberFormat="1" applyFont="1" applyBorder="1" applyAlignment="1">
      <alignment horizontal="center" vertical="center" wrapText="1"/>
    </xf>
    <xf numFmtId="10" fontId="107" fillId="0" borderId="2" xfId="1" applyNumberFormat="1" applyFont="1" applyBorder="1" applyAlignment="1">
      <alignment horizontal="center" vertical="center" wrapText="1"/>
    </xf>
    <xf numFmtId="10" fontId="107" fillId="0" borderId="9" xfId="1" applyNumberFormat="1" applyFont="1" applyBorder="1" applyAlignment="1">
      <alignment horizontal="center" vertical="center" wrapText="1"/>
    </xf>
    <xf numFmtId="10" fontId="107" fillId="0" borderId="4" xfId="1" applyNumberFormat="1" applyFont="1" applyBorder="1" applyAlignment="1">
      <alignment horizontal="center" vertical="center" wrapText="1"/>
    </xf>
    <xf numFmtId="0" fontId="66" fillId="0" borderId="22" xfId="0" applyFont="1" applyBorder="1" applyAlignment="1">
      <alignment horizontal="center" vertical="center"/>
    </xf>
    <xf numFmtId="0" fontId="66" fillId="0" borderId="17" xfId="0" applyFont="1" applyBorder="1" applyAlignment="1">
      <alignment horizontal="center" vertical="center"/>
    </xf>
    <xf numFmtId="0" fontId="66" fillId="0" borderId="30" xfId="0" applyFont="1" applyBorder="1" applyAlignment="1">
      <alignment horizontal="center" vertical="center"/>
    </xf>
    <xf numFmtId="0" fontId="66" fillId="0" borderId="38" xfId="0" applyFont="1" applyBorder="1" applyAlignment="1">
      <alignment horizontal="center" vertical="center"/>
    </xf>
    <xf numFmtId="0" fontId="66" fillId="0" borderId="6" xfId="0" applyFont="1" applyBorder="1" applyAlignment="1">
      <alignment horizontal="center" vertical="center"/>
    </xf>
    <xf numFmtId="0" fontId="66" fillId="0" borderId="37" xfId="0" applyFont="1" applyBorder="1" applyAlignment="1">
      <alignment horizontal="center" vertical="center"/>
    </xf>
    <xf numFmtId="0" fontId="19" fillId="0" borderId="22" xfId="0" applyFont="1" applyBorder="1" applyAlignment="1">
      <alignment horizontal="center" vertical="center"/>
    </xf>
    <xf numFmtId="0" fontId="19" fillId="0" borderId="17" xfId="0" applyFont="1" applyBorder="1" applyAlignment="1">
      <alignment horizontal="center" vertical="center"/>
    </xf>
    <xf numFmtId="0" fontId="19" fillId="0" borderId="30" xfId="0" applyFont="1" applyBorder="1" applyAlignment="1">
      <alignment horizontal="center" vertical="center"/>
    </xf>
    <xf numFmtId="0" fontId="19" fillId="0" borderId="38" xfId="0" applyFont="1" applyBorder="1" applyAlignment="1">
      <alignment horizontal="center" vertical="center"/>
    </xf>
    <xf numFmtId="0" fontId="19" fillId="0" borderId="6" xfId="0" applyFont="1" applyBorder="1" applyAlignment="1">
      <alignment horizontal="center" vertical="center"/>
    </xf>
    <xf numFmtId="0" fontId="19" fillId="0" borderId="37" xfId="0" applyFont="1" applyBorder="1" applyAlignment="1">
      <alignment horizontal="center" vertical="center"/>
    </xf>
    <xf numFmtId="0" fontId="19" fillId="0" borderId="35" xfId="0" applyFont="1" applyBorder="1" applyAlignment="1">
      <alignment horizontal="center" vertical="center" wrapText="1"/>
    </xf>
    <xf numFmtId="0" fontId="19" fillId="0" borderId="15" xfId="0" applyFont="1" applyBorder="1" applyAlignment="1">
      <alignment horizontal="center" vertical="center"/>
    </xf>
    <xf numFmtId="0" fontId="19" fillId="0" borderId="0" xfId="0" applyFont="1" applyAlignment="1">
      <alignment horizontal="center" vertical="center"/>
    </xf>
    <xf numFmtId="0" fontId="19" fillId="0" borderId="10" xfId="0" applyFont="1" applyBorder="1" applyAlignment="1">
      <alignment horizontal="center" vertical="center"/>
    </xf>
    <xf numFmtId="0" fontId="19" fillId="0" borderId="16" xfId="0" applyFont="1" applyBorder="1" applyAlignment="1">
      <alignment horizontal="center" vertical="center"/>
    </xf>
    <xf numFmtId="0" fontId="19" fillId="0" borderId="106" xfId="0" applyFont="1" applyBorder="1" applyAlignment="1">
      <alignment horizontal="center" vertical="center"/>
    </xf>
    <xf numFmtId="0" fontId="19" fillId="0" borderId="4" xfId="0" applyFont="1" applyBorder="1" applyAlignment="1">
      <alignment horizontal="center" vertical="center"/>
    </xf>
    <xf numFmtId="0" fontId="0" fillId="4" borderId="61" xfId="0" applyFill="1" applyBorder="1" applyAlignment="1" applyProtection="1">
      <alignment horizontal="center" vertical="center"/>
      <protection locked="0"/>
    </xf>
    <xf numFmtId="0" fontId="0" fillId="4" borderId="1" xfId="0" applyFill="1" applyBorder="1" applyAlignment="1" applyProtection="1">
      <alignment horizontal="center" vertical="center"/>
      <protection locked="0"/>
    </xf>
    <xf numFmtId="0" fontId="0" fillId="4" borderId="34" xfId="0" applyFill="1" applyBorder="1" applyAlignment="1" applyProtection="1">
      <alignment horizontal="center" vertical="center"/>
      <protection locked="0"/>
    </xf>
    <xf numFmtId="0" fontId="0" fillId="4" borderId="15" xfId="0" applyFill="1" applyBorder="1" applyAlignment="1" applyProtection="1">
      <alignment horizontal="center" vertical="center"/>
      <protection locked="0"/>
    </xf>
    <xf numFmtId="0" fontId="0" fillId="4" borderId="0" xfId="0" applyFill="1" applyAlignment="1" applyProtection="1">
      <alignment horizontal="center" vertical="center"/>
      <protection locked="0"/>
    </xf>
    <xf numFmtId="0" fontId="0" fillId="4" borderId="10" xfId="0" applyFill="1" applyBorder="1" applyAlignment="1" applyProtection="1">
      <alignment horizontal="center" vertical="center"/>
      <protection locked="0"/>
    </xf>
    <xf numFmtId="0" fontId="0" fillId="4" borderId="59" xfId="0" applyFill="1" applyBorder="1" applyAlignment="1" applyProtection="1">
      <alignment horizontal="center" vertical="center"/>
      <protection locked="0"/>
    </xf>
    <xf numFmtId="0" fontId="0" fillId="4" borderId="12" xfId="0" applyFill="1" applyBorder="1" applyAlignment="1" applyProtection="1">
      <alignment horizontal="center" vertical="center"/>
      <protection locked="0"/>
    </xf>
    <xf numFmtId="0" fontId="0" fillId="4" borderId="13" xfId="0" applyFill="1" applyBorder="1" applyAlignment="1" applyProtection="1">
      <alignment horizontal="center" vertical="center"/>
      <protection locked="0"/>
    </xf>
    <xf numFmtId="38" fontId="12" fillId="0" borderId="72" xfId="71" applyNumberFormat="1" applyFont="1" applyBorder="1" applyAlignment="1">
      <alignment horizontal="center" vertical="center" wrapText="1"/>
    </xf>
    <xf numFmtId="38" fontId="12" fillId="0" borderId="27" xfId="71" applyNumberFormat="1" applyFont="1" applyBorder="1" applyAlignment="1">
      <alignment horizontal="center" vertical="center" wrapText="1"/>
    </xf>
    <xf numFmtId="38" fontId="12" fillId="0" borderId="45" xfId="71" applyNumberFormat="1" applyFont="1" applyBorder="1" applyAlignment="1">
      <alignment horizontal="center" vertical="center" wrapText="1"/>
    </xf>
    <xf numFmtId="0" fontId="12" fillId="0" borderId="26" xfId="71" applyFont="1" applyBorder="1" applyAlignment="1">
      <alignment horizontal="center" vertical="center" wrapText="1"/>
    </xf>
    <xf numFmtId="0" fontId="12" fillId="0" borderId="28" xfId="71" applyFont="1" applyBorder="1" applyAlignment="1">
      <alignment horizontal="center" vertical="center" wrapText="1"/>
    </xf>
    <xf numFmtId="0" fontId="0" fillId="0" borderId="28" xfId="0" applyBorder="1" applyAlignment="1">
      <alignment horizontal="center" vertical="center" wrapText="1"/>
    </xf>
    <xf numFmtId="0" fontId="0" fillId="0" borderId="48" xfId="0" applyBorder="1" applyAlignment="1">
      <alignment horizontal="center" vertical="center" wrapText="1"/>
    </xf>
    <xf numFmtId="165" fontId="12" fillId="0" borderId="72" xfId="8" applyNumberFormat="1" applyFont="1" applyBorder="1" applyAlignment="1">
      <alignment horizontal="center" vertical="center" wrapText="1"/>
    </xf>
    <xf numFmtId="165" fontId="12" fillId="0" borderId="27" xfId="8" applyNumberFormat="1" applyFont="1" applyBorder="1" applyAlignment="1">
      <alignment horizontal="center" vertical="center" wrapText="1"/>
    </xf>
    <xf numFmtId="165" fontId="12" fillId="0" borderId="45" xfId="8" applyNumberFormat="1" applyFont="1" applyBorder="1" applyAlignment="1">
      <alignment horizontal="center" vertical="center" wrapText="1"/>
    </xf>
    <xf numFmtId="165" fontId="12" fillId="0" borderId="79" xfId="8" applyNumberFormat="1" applyFont="1" applyBorder="1" applyAlignment="1">
      <alignment horizontal="center" vertical="center" wrapText="1"/>
    </xf>
    <xf numFmtId="165" fontId="12" fillId="0" borderId="28" xfId="8" applyNumberFormat="1" applyFont="1" applyBorder="1" applyAlignment="1">
      <alignment horizontal="center" vertical="center" wrapText="1"/>
    </xf>
    <xf numFmtId="165" fontId="12" fillId="0" borderId="48" xfId="8" applyNumberFormat="1" applyFont="1" applyBorder="1" applyAlignment="1">
      <alignment horizontal="center" vertical="center" wrapText="1"/>
    </xf>
    <xf numFmtId="0" fontId="19" fillId="0" borderId="22" xfId="0" applyFont="1" applyBorder="1" applyAlignment="1" applyProtection="1">
      <alignment horizontal="right" vertical="center"/>
      <protection hidden="1"/>
    </xf>
    <xf numFmtId="0" fontId="19" fillId="0" borderId="17" xfId="0" applyFont="1" applyBorder="1" applyAlignment="1" applyProtection="1">
      <alignment horizontal="right" vertical="center"/>
      <protection hidden="1"/>
    </xf>
    <xf numFmtId="0" fontId="19" fillId="0" borderId="30" xfId="0" applyFont="1" applyBorder="1" applyAlignment="1" applyProtection="1">
      <alignment horizontal="right" vertical="center"/>
      <protection hidden="1"/>
    </xf>
    <xf numFmtId="0" fontId="12" fillId="18" borderId="27" xfId="71" applyFont="1" applyFill="1" applyBorder="1" applyAlignment="1">
      <alignment horizontal="center" vertical="center" wrapText="1"/>
    </xf>
    <xf numFmtId="0" fontId="20" fillId="18" borderId="27" xfId="0" applyFont="1" applyFill="1" applyBorder="1" applyAlignment="1">
      <alignment horizontal="center" vertical="center" wrapText="1"/>
    </xf>
    <xf numFmtId="0" fontId="20" fillId="18" borderId="45" xfId="0" applyFont="1" applyFill="1" applyBorder="1" applyAlignment="1">
      <alignment horizontal="center" vertical="center" wrapText="1"/>
    </xf>
    <xf numFmtId="0" fontId="105" fillId="0" borderId="9" xfId="0" applyFont="1" applyBorder="1" applyAlignment="1">
      <alignment horizontal="center" vertical="center" wrapText="1"/>
    </xf>
    <xf numFmtId="0" fontId="105" fillId="0" borderId="0" xfId="0" applyFont="1" applyAlignment="1">
      <alignment horizontal="center" vertical="center" wrapText="1"/>
    </xf>
    <xf numFmtId="0" fontId="105" fillId="0" borderId="10" xfId="0" applyFont="1" applyBorder="1" applyAlignment="1">
      <alignment horizontal="center" vertical="center" wrapText="1"/>
    </xf>
    <xf numFmtId="0" fontId="105" fillId="0" borderId="38" xfId="0" applyFont="1" applyBorder="1" applyAlignment="1">
      <alignment horizontal="center" vertical="center" wrapText="1"/>
    </xf>
    <xf numFmtId="0" fontId="105" fillId="0" borderId="6" xfId="0" applyFont="1" applyBorder="1" applyAlignment="1">
      <alignment horizontal="center" vertical="center" wrapText="1"/>
    </xf>
    <xf numFmtId="0" fontId="105" fillId="0" borderId="37" xfId="0" applyFont="1" applyBorder="1" applyAlignment="1">
      <alignment horizontal="center" vertical="center" wrapText="1"/>
    </xf>
    <xf numFmtId="0" fontId="20" fillId="0" borderId="19" xfId="0" applyFont="1" applyBorder="1" applyAlignment="1">
      <alignment horizontal="left"/>
    </xf>
    <xf numFmtId="0" fontId="20" fillId="0" borderId="12" xfId="0" applyFont="1" applyBorder="1" applyAlignment="1">
      <alignment horizontal="left"/>
    </xf>
    <xf numFmtId="0" fontId="20" fillId="0" borderId="13" xfId="0" applyFont="1" applyBorder="1" applyAlignment="1">
      <alignment horizontal="left"/>
    </xf>
    <xf numFmtId="0" fontId="61" fillId="0" borderId="19" xfId="0" applyFont="1" applyBorder="1" applyAlignment="1">
      <alignment horizontal="center"/>
    </xf>
    <xf numFmtId="0" fontId="61" fillId="0" borderId="12" xfId="0" applyFont="1" applyBorder="1" applyAlignment="1">
      <alignment horizontal="center"/>
    </xf>
    <xf numFmtId="0" fontId="61" fillId="0" borderId="13" xfId="0" applyFont="1" applyBorder="1" applyAlignment="1">
      <alignment horizontal="center"/>
    </xf>
    <xf numFmtId="0" fontId="47" fillId="0" borderId="27" xfId="71" applyFont="1" applyBorder="1" applyAlignment="1">
      <alignment horizontal="left" shrinkToFit="1"/>
    </xf>
    <xf numFmtId="0" fontId="47" fillId="0" borderId="28" xfId="71" applyFont="1" applyBorder="1" applyAlignment="1">
      <alignment horizontal="left" shrinkToFit="1"/>
    </xf>
    <xf numFmtId="0" fontId="0" fillId="0" borderId="9" xfId="0" applyBorder="1" applyAlignment="1">
      <alignment horizontal="left" wrapText="1"/>
    </xf>
    <xf numFmtId="0" fontId="0" fillId="0" borderId="0" xfId="0" applyAlignment="1">
      <alignment horizontal="left" wrapText="1"/>
    </xf>
    <xf numFmtId="0" fontId="0" fillId="0" borderId="10" xfId="0" applyBorder="1" applyAlignment="1">
      <alignment horizontal="left" wrapText="1"/>
    </xf>
    <xf numFmtId="0" fontId="20" fillId="0" borderId="18" xfId="0" applyFont="1" applyBorder="1" applyAlignment="1">
      <alignment horizontal="left"/>
    </xf>
    <xf numFmtId="0" fontId="20" fillId="0" borderId="7" xfId="0" applyFont="1" applyBorder="1" applyAlignment="1">
      <alignment horizontal="left"/>
    </xf>
    <xf numFmtId="0" fontId="19" fillId="0" borderId="35" xfId="0" applyFont="1" applyBorder="1" applyAlignment="1">
      <alignment horizontal="center" wrapText="1"/>
    </xf>
    <xf numFmtId="0" fontId="19" fillId="0" borderId="17" xfId="0" applyFont="1" applyBorder="1" applyAlignment="1">
      <alignment horizontal="center" wrapText="1"/>
    </xf>
    <xf numFmtId="0" fontId="19" fillId="0" borderId="106" xfId="0" applyFont="1" applyBorder="1" applyAlignment="1">
      <alignment horizontal="center" wrapText="1"/>
    </xf>
    <xf numFmtId="0" fontId="28" fillId="2" borderId="29" xfId="71" applyFont="1" applyFill="1" applyBorder="1" applyAlignment="1">
      <alignment horizontal="left"/>
    </xf>
    <xf numFmtId="0" fontId="28" fillId="2" borderId="21" xfId="71" applyFont="1" applyFill="1" applyBorder="1" applyAlignment="1">
      <alignment horizontal="left"/>
    </xf>
    <xf numFmtId="0" fontId="28" fillId="2" borderId="32" xfId="71" applyFont="1" applyFill="1" applyBorder="1" applyAlignment="1">
      <alignment horizontal="left"/>
    </xf>
    <xf numFmtId="0" fontId="19" fillId="0" borderId="61" xfId="0" applyFont="1" applyBorder="1" applyAlignment="1">
      <alignment horizontal="center" wrapText="1"/>
    </xf>
    <xf numFmtId="0" fontId="19" fillId="0" borderId="1" xfId="0" applyFont="1" applyBorder="1" applyAlignment="1">
      <alignment horizontal="center" wrapText="1"/>
    </xf>
    <xf numFmtId="0" fontId="19" fillId="0" borderId="34" xfId="0" applyFont="1" applyBorder="1" applyAlignment="1">
      <alignment horizontal="center" wrapText="1"/>
    </xf>
    <xf numFmtId="165" fontId="12" fillId="0" borderId="11" xfId="8" applyNumberFormat="1" applyFont="1" applyBorder="1" applyAlignment="1">
      <alignment horizontal="center" vertical="center" wrapText="1"/>
    </xf>
    <xf numFmtId="0" fontId="19" fillId="0" borderId="2" xfId="0" applyFont="1" applyBorder="1" applyAlignment="1">
      <alignment horizontal="center" wrapText="1"/>
    </xf>
    <xf numFmtId="0" fontId="47" fillId="4" borderId="27" xfId="71" applyFont="1" applyFill="1" applyBorder="1" applyAlignment="1" applyProtection="1">
      <alignment shrinkToFit="1"/>
      <protection locked="0"/>
    </xf>
    <xf numFmtId="0" fontId="47" fillId="4" borderId="27" xfId="71" applyFont="1" applyFill="1" applyBorder="1" applyAlignment="1" applyProtection="1">
      <alignment horizontal="left" shrinkToFit="1"/>
      <protection locked="0"/>
    </xf>
    <xf numFmtId="0" fontId="47" fillId="4" borderId="28" xfId="71" applyFont="1" applyFill="1" applyBorder="1" applyAlignment="1" applyProtection="1">
      <alignment horizontal="left" shrinkToFit="1"/>
      <protection locked="0"/>
    </xf>
    <xf numFmtId="0" fontId="12" fillId="0" borderId="50" xfId="71" applyFont="1" applyBorder="1" applyAlignment="1">
      <alignment horizontal="center" vertical="center" wrapText="1"/>
    </xf>
    <xf numFmtId="0" fontId="0" fillId="0" borderId="23" xfId="0" applyBorder="1" applyAlignment="1">
      <alignment horizontal="center" vertical="center" wrapText="1"/>
    </xf>
    <xf numFmtId="0" fontId="0" fillId="0" borderId="51" xfId="0" applyBorder="1" applyAlignment="1">
      <alignment horizontal="center" vertical="center" wrapText="1"/>
    </xf>
    <xf numFmtId="0" fontId="28" fillId="2" borderId="82" xfId="71" applyFont="1" applyFill="1" applyBorder="1" applyAlignment="1">
      <alignment horizontal="left"/>
    </xf>
    <xf numFmtId="0" fontId="28" fillId="2" borderId="72" xfId="71" applyFont="1" applyFill="1" applyBorder="1" applyAlignment="1">
      <alignment horizontal="left"/>
    </xf>
    <xf numFmtId="0" fontId="28" fillId="2" borderId="109" xfId="71" applyFont="1" applyFill="1" applyBorder="1" applyAlignment="1">
      <alignment horizontal="left"/>
    </xf>
    <xf numFmtId="0" fontId="28" fillId="2" borderId="36" xfId="71" applyFont="1" applyFill="1" applyBorder="1" applyAlignment="1">
      <alignment horizontal="left"/>
    </xf>
    <xf numFmtId="0" fontId="20" fillId="0" borderId="27" xfId="0" applyFont="1" applyBorder="1" applyAlignment="1">
      <alignment horizontal="left"/>
    </xf>
    <xf numFmtId="0" fontId="26" fillId="4" borderId="33" xfId="0" applyFont="1" applyFill="1" applyBorder="1" applyAlignment="1" applyProtection="1">
      <alignment horizontal="left" vertical="top" wrapText="1"/>
      <protection locked="0"/>
    </xf>
    <xf numFmtId="0" fontId="26" fillId="4" borderId="8" xfId="0" applyFont="1" applyFill="1" applyBorder="1" applyAlignment="1" applyProtection="1">
      <alignment horizontal="left" vertical="top" wrapText="1"/>
      <protection locked="0"/>
    </xf>
    <xf numFmtId="0" fontId="20" fillId="0" borderId="27" xfId="0" applyFont="1" applyBorder="1" applyAlignment="1">
      <alignment horizontal="left" vertical="top"/>
    </xf>
    <xf numFmtId="0" fontId="65" fillId="0" borderId="27" xfId="0" applyFont="1" applyBorder="1" applyAlignment="1">
      <alignment horizontal="left" wrapText="1"/>
    </xf>
    <xf numFmtId="14" fontId="20" fillId="4" borderId="33" xfId="0" applyNumberFormat="1" applyFont="1" applyFill="1" applyBorder="1" applyAlignment="1" applyProtection="1">
      <alignment horizontal="left" vertical="top" shrinkToFit="1"/>
      <protection locked="0"/>
    </xf>
    <xf numFmtId="14" fontId="20" fillId="4" borderId="8" xfId="0" applyNumberFormat="1" applyFont="1" applyFill="1" applyBorder="1" applyAlignment="1" applyProtection="1">
      <alignment horizontal="left" vertical="top" shrinkToFit="1"/>
      <protection locked="0"/>
    </xf>
    <xf numFmtId="0" fontId="20" fillId="0" borderId="27" xfId="0" applyFont="1" applyBorder="1" applyAlignment="1">
      <alignment horizontal="left" wrapText="1"/>
    </xf>
    <xf numFmtId="0" fontId="20" fillId="4" borderId="33" xfId="0" applyFont="1" applyFill="1" applyBorder="1" applyAlignment="1" applyProtection="1">
      <alignment horizontal="left" vertical="top" shrinkToFit="1"/>
      <protection locked="0"/>
    </xf>
    <xf numFmtId="0" fontId="20" fillId="4" borderId="8" xfId="0" applyFont="1" applyFill="1" applyBorder="1" applyAlignment="1" applyProtection="1">
      <alignment horizontal="left" vertical="top" shrinkToFit="1"/>
      <protection locked="0"/>
    </xf>
    <xf numFmtId="0" fontId="26" fillId="4" borderId="33" xfId="0" applyFont="1" applyFill="1" applyBorder="1" applyAlignment="1" applyProtection="1">
      <alignment horizontal="left" vertical="top" shrinkToFit="1"/>
      <protection locked="0"/>
    </xf>
    <xf numFmtId="0" fontId="26" fillId="4" borderId="8" xfId="0" applyFont="1" applyFill="1" applyBorder="1" applyAlignment="1" applyProtection="1">
      <alignment horizontal="left" vertical="top" shrinkToFit="1"/>
      <protection locked="0"/>
    </xf>
    <xf numFmtId="0" fontId="0" fillId="0" borderId="8" xfId="0" applyBorder="1" applyProtection="1">
      <protection locked="0"/>
    </xf>
    <xf numFmtId="0" fontId="0" fillId="0" borderId="27" xfId="0" applyBorder="1" applyAlignment="1">
      <alignment horizontal="left"/>
    </xf>
    <xf numFmtId="0" fontId="20" fillId="12" borderId="9" xfId="0" applyFont="1" applyFill="1" applyBorder="1" applyAlignment="1" applyProtection="1">
      <alignment horizontal="left" vertical="top" wrapText="1"/>
      <protection locked="0"/>
    </xf>
    <xf numFmtId="0" fontId="20" fillId="12" borderId="0" xfId="0" applyFont="1" applyFill="1" applyAlignment="1" applyProtection="1">
      <alignment horizontal="left" vertical="top" wrapText="1"/>
      <protection locked="0"/>
    </xf>
    <xf numFmtId="0" fontId="20" fillId="12" borderId="10" xfId="0" applyFont="1" applyFill="1" applyBorder="1" applyAlignment="1" applyProtection="1">
      <alignment horizontal="left" vertical="top" wrapText="1"/>
      <protection locked="0"/>
    </xf>
    <xf numFmtId="0" fontId="20" fillId="12" borderId="19" xfId="0" applyFont="1" applyFill="1" applyBorder="1" applyAlignment="1" applyProtection="1">
      <alignment horizontal="left" vertical="top" wrapText="1"/>
      <protection locked="0"/>
    </xf>
    <xf numFmtId="0" fontId="20" fillId="12" borderId="12" xfId="0" applyFont="1" applyFill="1" applyBorder="1" applyAlignment="1" applyProtection="1">
      <alignment horizontal="left" vertical="top" wrapText="1"/>
      <protection locked="0"/>
    </xf>
    <xf numFmtId="0" fontId="20" fillId="12" borderId="13" xfId="0" applyFont="1" applyFill="1" applyBorder="1" applyAlignment="1" applyProtection="1">
      <alignment horizontal="left" vertical="top" wrapText="1"/>
      <protection locked="0"/>
    </xf>
    <xf numFmtId="0" fontId="12" fillId="0" borderId="23" xfId="0" applyFont="1" applyBorder="1" applyAlignment="1">
      <alignment horizontal="center" vertical="center"/>
    </xf>
    <xf numFmtId="0" fontId="12" fillId="0" borderId="51" xfId="0" applyFont="1" applyBorder="1" applyAlignment="1">
      <alignment horizontal="center" vertical="center"/>
    </xf>
    <xf numFmtId="0" fontId="12" fillId="0" borderId="11" xfId="0" applyFont="1" applyBorder="1" applyAlignment="1">
      <alignment horizontal="center" vertical="center"/>
    </xf>
    <xf numFmtId="0" fontId="12" fillId="0" borderId="46" xfId="0" applyFont="1" applyBorder="1" applyAlignment="1">
      <alignment horizontal="center" vertical="center"/>
    </xf>
    <xf numFmtId="0" fontId="0" fillId="4" borderId="33" xfId="0" applyFill="1" applyBorder="1" applyAlignment="1" applyProtection="1">
      <alignment vertical="center" shrinkToFit="1"/>
      <protection locked="0"/>
    </xf>
    <xf numFmtId="0" fontId="0" fillId="4" borderId="96" xfId="0" applyFill="1" applyBorder="1" applyAlignment="1" applyProtection="1">
      <alignment vertical="center" shrinkToFit="1"/>
      <protection locked="0"/>
    </xf>
    <xf numFmtId="0" fontId="3" fillId="4" borderId="33" xfId="0" applyFont="1" applyFill="1" applyBorder="1" applyAlignment="1" applyProtection="1">
      <alignment vertical="center" shrinkToFit="1"/>
      <protection locked="0"/>
    </xf>
    <xf numFmtId="0" fontId="2" fillId="4" borderId="33" xfId="0" applyFont="1" applyFill="1" applyBorder="1" applyAlignment="1" applyProtection="1">
      <alignment vertical="center" shrinkToFit="1"/>
      <protection locked="0"/>
    </xf>
    <xf numFmtId="0" fontId="40" fillId="0" borderId="17" xfId="0" applyFont="1" applyBorder="1" applyAlignment="1">
      <alignment horizontal="center" vertical="center" wrapText="1"/>
    </xf>
    <xf numFmtId="0" fontId="40" fillId="0" borderId="0" xfId="0" applyFont="1" applyAlignment="1">
      <alignment horizontal="center" vertical="center" wrapText="1"/>
    </xf>
    <xf numFmtId="0" fontId="12" fillId="0" borderId="76" xfId="0" applyFont="1" applyBorder="1" applyAlignment="1">
      <alignment horizontal="right" vertical="center"/>
    </xf>
    <xf numFmtId="0" fontId="0" fillId="0" borderId="58" xfId="0" applyBorder="1" applyAlignment="1">
      <alignment vertical="center"/>
    </xf>
    <xf numFmtId="0" fontId="18" fillId="0" borderId="62" xfId="0" applyNumberFormat="1" applyFont="1" applyFill="1" applyBorder="1" applyAlignment="1" applyProtection="1">
      <alignment horizontal="center" shrinkToFit="1"/>
    </xf>
    <xf numFmtId="0" fontId="18" fillId="0" borderId="57" xfId="0" applyNumberFormat="1" applyFont="1" applyFill="1" applyBorder="1" applyAlignment="1" applyProtection="1">
      <alignment horizontal="center" shrinkToFit="1"/>
    </xf>
    <xf numFmtId="0" fontId="18" fillId="0" borderId="74" xfId="0" applyNumberFormat="1" applyFont="1" applyFill="1" applyBorder="1" applyAlignment="1" applyProtection="1">
      <alignment horizontal="center" shrinkToFit="1"/>
    </xf>
    <xf numFmtId="10" fontId="19" fillId="0" borderId="62" xfId="0" applyNumberFormat="1" applyFont="1" applyBorder="1" applyAlignment="1">
      <alignment horizontal="right"/>
    </xf>
    <xf numFmtId="10" fontId="19" fillId="0" borderId="57" xfId="0" applyNumberFormat="1" applyFont="1" applyBorder="1" applyAlignment="1">
      <alignment horizontal="right"/>
    </xf>
    <xf numFmtId="0" fontId="10" fillId="0" borderId="22" xfId="0" applyFont="1" applyBorder="1" applyAlignment="1">
      <alignment horizontal="right" vertical="center"/>
    </xf>
    <xf numFmtId="0" fontId="10" fillId="0" borderId="17" xfId="0" applyFont="1" applyBorder="1" applyAlignment="1">
      <alignment horizontal="right" vertical="center"/>
    </xf>
    <xf numFmtId="0" fontId="10" fillId="0" borderId="30" xfId="0" applyFont="1" applyBorder="1" applyAlignment="1">
      <alignment horizontal="right" vertical="center"/>
    </xf>
    <xf numFmtId="0" fontId="61" fillId="0" borderId="19" xfId="0" applyFont="1" applyBorder="1" applyAlignment="1">
      <alignment horizontal="center" vertical="center"/>
    </xf>
    <xf numFmtId="0" fontId="61" fillId="0" borderId="12" xfId="0" applyFont="1" applyBorder="1" applyAlignment="1">
      <alignment horizontal="center" vertical="center"/>
    </xf>
    <xf numFmtId="0" fontId="61" fillId="0" borderId="13" xfId="0" applyFont="1" applyBorder="1" applyAlignment="1">
      <alignment horizontal="center" vertical="center"/>
    </xf>
    <xf numFmtId="0" fontId="149" fillId="0" borderId="42" xfId="0" applyFont="1" applyFill="1" applyBorder="1" applyAlignment="1">
      <alignment horizontal="center"/>
    </xf>
    <xf numFmtId="0" fontId="149" fillId="0" borderId="43" xfId="0" applyFont="1" applyFill="1" applyBorder="1" applyAlignment="1">
      <alignment horizontal="center"/>
    </xf>
    <xf numFmtId="0" fontId="149" fillId="0" borderId="78" xfId="0" applyFont="1" applyFill="1" applyBorder="1" applyAlignment="1">
      <alignment horizontal="center"/>
    </xf>
    <xf numFmtId="0" fontId="6" fillId="0" borderId="24" xfId="0" applyFont="1" applyBorder="1" applyAlignment="1">
      <alignment horizontal="center" vertical="center" wrapText="1"/>
    </xf>
    <xf numFmtId="0" fontId="6" fillId="0" borderId="49" xfId="0" applyFont="1" applyBorder="1" applyAlignment="1">
      <alignment horizontal="center" vertical="center"/>
    </xf>
    <xf numFmtId="0" fontId="12" fillId="0" borderId="11" xfId="0" applyFont="1" applyBorder="1" applyAlignment="1">
      <alignment horizontal="center" vertical="center" wrapText="1"/>
    </xf>
    <xf numFmtId="0" fontId="12" fillId="0" borderId="46" xfId="0" applyFont="1" applyBorder="1" applyAlignment="1">
      <alignment horizontal="center" vertical="center" wrapText="1"/>
    </xf>
    <xf numFmtId="0" fontId="12" fillId="0" borderId="110" xfId="0" applyFont="1" applyBorder="1" applyAlignment="1">
      <alignment horizontal="center" vertical="center" wrapText="1"/>
    </xf>
    <xf numFmtId="0" fontId="12" fillId="0" borderId="117" xfId="0" applyFont="1" applyBorder="1" applyAlignment="1">
      <alignment horizontal="center" vertical="center" wrapText="1"/>
    </xf>
    <xf numFmtId="0" fontId="12" fillId="0" borderId="134"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5" xfId="0" applyFont="1" applyBorder="1" applyAlignment="1">
      <alignment horizontal="center" vertical="center" wrapText="1"/>
    </xf>
    <xf numFmtId="10" fontId="148" fillId="0" borderId="62" xfId="0" applyNumberFormat="1" applyFont="1" applyFill="1" applyBorder="1" applyAlignment="1">
      <alignment horizontal="right" vertical="center"/>
    </xf>
    <xf numFmtId="10" fontId="148" fillId="0" borderId="57" xfId="0" applyNumberFormat="1" applyFont="1" applyFill="1" applyBorder="1" applyAlignment="1">
      <alignment horizontal="right" vertical="center"/>
    </xf>
    <xf numFmtId="0" fontId="106" fillId="0" borderId="42" xfId="0" applyFont="1" applyFill="1" applyBorder="1" applyAlignment="1">
      <alignment horizontal="center"/>
    </xf>
    <xf numFmtId="0" fontId="106" fillId="0" borderId="43" xfId="0" applyFont="1" applyFill="1" applyBorder="1" applyAlignment="1">
      <alignment horizontal="center"/>
    </xf>
    <xf numFmtId="0" fontId="106" fillId="0" borderId="78" xfId="0" applyFont="1" applyFill="1" applyBorder="1" applyAlignment="1">
      <alignment horizontal="center"/>
    </xf>
    <xf numFmtId="0" fontId="20" fillId="12" borderId="22" xfId="0" applyFont="1" applyFill="1" applyBorder="1" applyAlignment="1" applyProtection="1">
      <alignment horizontal="left" vertical="top" wrapText="1"/>
      <protection locked="0"/>
    </xf>
    <xf numFmtId="0" fontId="20" fillId="12" borderId="17" xfId="0" applyFont="1" applyFill="1" applyBorder="1" applyAlignment="1" applyProtection="1">
      <alignment horizontal="left" vertical="top" wrapText="1"/>
      <protection locked="0"/>
    </xf>
    <xf numFmtId="0" fontId="20" fillId="12" borderId="30" xfId="0" applyFont="1" applyFill="1" applyBorder="1" applyAlignment="1" applyProtection="1">
      <alignment horizontal="left" vertical="top" wrapText="1"/>
      <protection locked="0"/>
    </xf>
    <xf numFmtId="6" fontId="3" fillId="4" borderId="33" xfId="0" applyNumberFormat="1" applyFont="1" applyFill="1" applyBorder="1" applyAlignment="1" applyProtection="1">
      <alignment vertical="center" shrinkToFit="1"/>
      <protection locked="0"/>
    </xf>
    <xf numFmtId="10" fontId="0" fillId="0" borderId="76" xfId="0" applyNumberFormat="1" applyBorder="1" applyAlignment="1">
      <alignment horizontal="center" vertical="center"/>
    </xf>
    <xf numFmtId="10" fontId="0" fillId="0" borderId="21" xfId="0" applyNumberFormat="1" applyBorder="1" applyAlignment="1">
      <alignment horizontal="center" vertical="center"/>
    </xf>
    <xf numFmtId="10" fontId="0" fillId="0" borderId="112" xfId="0" applyNumberFormat="1" applyBorder="1" applyAlignment="1">
      <alignment horizontal="center" vertical="center"/>
    </xf>
    <xf numFmtId="0" fontId="12" fillId="0" borderId="46" xfId="0" applyFont="1" applyBorder="1" applyAlignment="1">
      <alignment horizontal="center"/>
    </xf>
    <xf numFmtId="49" fontId="18" fillId="4" borderId="62" xfId="0" applyNumberFormat="1" applyFont="1" applyFill="1" applyBorder="1" applyAlignment="1" applyProtection="1">
      <alignment horizontal="center" vertical="center" shrinkToFit="1"/>
      <protection locked="0"/>
    </xf>
    <xf numFmtId="49" fontId="18" fillId="4" borderId="57" xfId="0" applyNumberFormat="1" applyFont="1" applyFill="1" applyBorder="1" applyAlignment="1" applyProtection="1">
      <alignment horizontal="center" vertical="center" shrinkToFit="1"/>
      <protection locked="0"/>
    </xf>
    <xf numFmtId="49" fontId="18" fillId="4" borderId="74" xfId="0" applyNumberFormat="1" applyFont="1" applyFill="1" applyBorder="1" applyAlignment="1" applyProtection="1">
      <alignment horizontal="center" vertical="center" shrinkToFit="1"/>
      <protection locked="0"/>
    </xf>
    <xf numFmtId="0" fontId="2" fillId="0" borderId="0" xfId="91" applyFont="1" applyFill="1" applyBorder="1" applyAlignment="1">
      <alignment horizontal="right" vertical="center"/>
    </xf>
    <xf numFmtId="0" fontId="2" fillId="0" borderId="134" xfId="91" applyFont="1" applyFill="1" applyBorder="1" applyAlignment="1">
      <alignment horizontal="right" vertical="center"/>
    </xf>
    <xf numFmtId="0" fontId="19" fillId="0" borderId="0" xfId="91" applyFont="1" applyFill="1" applyAlignment="1">
      <alignment horizontal="right" vertical="center"/>
    </xf>
    <xf numFmtId="0" fontId="19" fillId="0" borderId="134" xfId="91" applyFont="1" applyFill="1" applyBorder="1" applyAlignment="1">
      <alignment horizontal="right" vertical="center"/>
    </xf>
    <xf numFmtId="0" fontId="2" fillId="0" borderId="0" xfId="91" applyFont="1" applyFill="1" applyAlignment="1">
      <alignment horizontal="right" vertical="center"/>
    </xf>
    <xf numFmtId="0" fontId="2" fillId="0" borderId="0" xfId="81" applyAlignment="1">
      <alignment horizontal="left" vertical="center"/>
    </xf>
    <xf numFmtId="0" fontId="98" fillId="26" borderId="119" xfId="81" quotePrefix="1" applyFont="1" applyFill="1" applyBorder="1" applyAlignment="1">
      <alignment horizontal="center" vertical="center" wrapText="1"/>
    </xf>
    <xf numFmtId="0" fontId="98" fillId="26" borderId="7" xfId="81" applyFont="1" applyFill="1" applyBorder="1" applyAlignment="1">
      <alignment horizontal="center" vertical="center" wrapText="1"/>
    </xf>
    <xf numFmtId="0" fontId="98" fillId="26" borderId="8" xfId="81" applyFont="1" applyFill="1" applyBorder="1" applyAlignment="1">
      <alignment horizontal="center" vertical="center" wrapText="1"/>
    </xf>
    <xf numFmtId="164" fontId="18" fillId="27" borderId="119" xfId="81" applyNumberFormat="1" applyFont="1" applyFill="1" applyBorder="1" applyAlignment="1">
      <alignment horizontal="center" vertical="center" wrapText="1"/>
    </xf>
    <xf numFmtId="164" fontId="18" fillId="27" borderId="8" xfId="81" applyNumberFormat="1" applyFont="1" applyFill="1" applyBorder="1" applyAlignment="1">
      <alignment horizontal="center" vertical="center" wrapText="1"/>
    </xf>
    <xf numFmtId="0" fontId="19" fillId="0" borderId="19" xfId="80" applyFont="1" applyBorder="1">
      <alignment horizontal="left" vertical="center"/>
    </xf>
    <xf numFmtId="0" fontId="19" fillId="0" borderId="12" xfId="80" applyFont="1" applyBorder="1">
      <alignment horizontal="left" vertical="center"/>
    </xf>
    <xf numFmtId="164" fontId="18" fillId="27" borderId="7" xfId="81" applyNumberFormat="1" applyFont="1" applyFill="1" applyBorder="1" applyAlignment="1">
      <alignment horizontal="center" vertical="center" wrapText="1"/>
    </xf>
    <xf numFmtId="0" fontId="98" fillId="26" borderId="119" xfId="81" applyFont="1" applyFill="1" applyBorder="1" applyAlignment="1">
      <alignment horizontal="center" vertical="center" wrapText="1"/>
    </xf>
    <xf numFmtId="0" fontId="98" fillId="27" borderId="119" xfId="81" applyFont="1" applyFill="1" applyBorder="1" applyAlignment="1">
      <alignment horizontal="center" vertical="center" wrapText="1"/>
    </xf>
    <xf numFmtId="0" fontId="98" fillId="27" borderId="7" xfId="81" applyFont="1" applyFill="1" applyBorder="1" applyAlignment="1">
      <alignment horizontal="center" vertical="center" wrapText="1"/>
    </xf>
    <xf numFmtId="0" fontId="98" fillId="27" borderId="8" xfId="81" applyFont="1" applyFill="1" applyBorder="1" applyAlignment="1">
      <alignment horizontal="center" vertical="center" wrapText="1"/>
    </xf>
    <xf numFmtId="0" fontId="125" fillId="0" borderId="124" xfId="80" applyFont="1" applyBorder="1" applyAlignment="1">
      <alignment horizontal="left" vertical="center"/>
    </xf>
    <xf numFmtId="0" fontId="125" fillId="0" borderId="125" xfId="80" applyFont="1" applyBorder="1" applyAlignment="1">
      <alignment horizontal="left" vertical="center"/>
    </xf>
    <xf numFmtId="0" fontId="19" fillId="0" borderId="126" xfId="80" applyFont="1" applyBorder="1">
      <alignment horizontal="left" vertical="center"/>
    </xf>
    <xf numFmtId="0" fontId="23" fillId="0" borderId="88" xfId="80" applyFont="1" applyBorder="1">
      <alignment horizontal="left" vertical="center"/>
    </xf>
    <xf numFmtId="0" fontId="23" fillId="0" borderId="127" xfId="80" applyFont="1" applyBorder="1">
      <alignment horizontal="left" vertical="center"/>
    </xf>
    <xf numFmtId="0" fontId="19" fillId="0" borderId="88" xfId="80" applyFont="1" applyBorder="1">
      <alignment horizontal="left" vertical="center"/>
    </xf>
    <xf numFmtId="0" fontId="19" fillId="0" borderId="127" xfId="80" applyFont="1" applyBorder="1">
      <alignment horizontal="left" vertical="center"/>
    </xf>
    <xf numFmtId="0" fontId="128" fillId="17" borderId="22" xfId="81" applyFont="1" applyFill="1" applyBorder="1" applyAlignment="1">
      <alignment horizontal="left" vertical="center"/>
    </xf>
    <xf numFmtId="0" fontId="128" fillId="17" borderId="17" xfId="81" applyFont="1" applyFill="1" applyBorder="1" applyAlignment="1">
      <alignment horizontal="left" vertical="center"/>
    </xf>
    <xf numFmtId="0" fontId="2" fillId="0" borderId="0" xfId="81" applyAlignment="1">
      <alignment horizontal="left" vertical="center" wrapText="1"/>
    </xf>
    <xf numFmtId="0" fontId="132" fillId="0" borderId="6" xfId="81" applyFont="1" applyBorder="1" applyAlignment="1">
      <alignment horizontal="right" vertical="center" wrapText="1"/>
    </xf>
    <xf numFmtId="164" fontId="18" fillId="26" borderId="119" xfId="81" applyNumberFormat="1" applyFont="1" applyFill="1" applyBorder="1" applyAlignment="1">
      <alignment horizontal="center" vertical="center" wrapText="1"/>
    </xf>
    <xf numFmtId="164" fontId="18" fillId="26" borderId="7" xfId="81" applyNumberFormat="1" applyFont="1" applyFill="1" applyBorder="1" applyAlignment="1">
      <alignment horizontal="center" vertical="center" wrapText="1"/>
    </xf>
    <xf numFmtId="164" fontId="18" fillId="26" borderId="8" xfId="81" applyNumberFormat="1" applyFont="1" applyFill="1" applyBorder="1" applyAlignment="1">
      <alignment horizontal="center" vertical="center" wrapText="1"/>
    </xf>
    <xf numFmtId="164" fontId="18" fillId="27" borderId="118" xfId="81" applyNumberFormat="1" applyFont="1" applyFill="1" applyBorder="1" applyAlignment="1">
      <alignment horizontal="center" vertical="center" wrapText="1"/>
    </xf>
    <xf numFmtId="0" fontId="25" fillId="0" borderId="0" xfId="81" applyFont="1" applyAlignment="1">
      <alignment horizontal="right" vertical="center" wrapText="1"/>
    </xf>
    <xf numFmtId="0" fontId="2" fillId="0" borderId="90" xfId="81" applyBorder="1" applyAlignment="1">
      <alignment horizontal="left" vertical="center"/>
    </xf>
    <xf numFmtId="0" fontId="132" fillId="0" borderId="90" xfId="81" applyFont="1" applyBorder="1" applyAlignment="1">
      <alignment horizontal="center" vertical="center"/>
    </xf>
    <xf numFmtId="0" fontId="2" fillId="0" borderId="88" xfId="81" applyBorder="1" applyAlignment="1">
      <alignment horizontal="left" vertical="center"/>
    </xf>
    <xf numFmtId="0" fontId="132" fillId="0" borderId="88" xfId="81" applyFont="1" applyBorder="1" applyAlignment="1">
      <alignment horizontal="left" vertical="center"/>
    </xf>
    <xf numFmtId="164" fontId="131" fillId="26" borderId="119" xfId="81" applyNumberFormat="1" applyFont="1" applyFill="1" applyBorder="1" applyAlignment="1">
      <alignment horizontal="center" vertical="center" wrapText="1"/>
    </xf>
    <xf numFmtId="164" fontId="131" fillId="26" borderId="7" xfId="81" applyNumberFormat="1" applyFont="1" applyFill="1" applyBorder="1" applyAlignment="1">
      <alignment horizontal="center" vertical="center" wrapText="1"/>
    </xf>
    <xf numFmtId="164" fontId="131" fillId="26" borderId="8" xfId="81" applyNumberFormat="1" applyFont="1" applyFill="1" applyBorder="1" applyAlignment="1">
      <alignment horizontal="center" vertical="center" wrapText="1"/>
    </xf>
    <xf numFmtId="164" fontId="131" fillId="27" borderId="119" xfId="81" applyNumberFormat="1" applyFont="1" applyFill="1" applyBorder="1" applyAlignment="1">
      <alignment horizontal="center" vertical="center" wrapText="1"/>
    </xf>
    <xf numFmtId="164" fontId="131" fillId="27" borderId="7" xfId="81" applyNumberFormat="1" applyFont="1" applyFill="1" applyBorder="1" applyAlignment="1">
      <alignment horizontal="center" vertical="center" wrapText="1"/>
    </xf>
    <xf numFmtId="164" fontId="131" fillId="27" borderId="8" xfId="81" applyNumberFormat="1" applyFont="1" applyFill="1" applyBorder="1" applyAlignment="1">
      <alignment horizontal="center" vertical="center" wrapText="1"/>
    </xf>
    <xf numFmtId="0" fontId="128" fillId="17" borderId="119" xfId="81" applyFont="1" applyFill="1" applyBorder="1" applyAlignment="1">
      <alignment horizontal="center" vertical="center" wrapText="1"/>
    </xf>
    <xf numFmtId="0" fontId="128" fillId="17" borderId="7" xfId="81" applyFont="1" applyFill="1" applyBorder="1" applyAlignment="1">
      <alignment horizontal="center" vertical="center" wrapText="1"/>
    </xf>
    <xf numFmtId="0" fontId="128" fillId="17" borderId="8" xfId="81" applyFont="1" applyFill="1" applyBorder="1" applyAlignment="1">
      <alignment horizontal="center" vertical="center" wrapText="1"/>
    </xf>
    <xf numFmtId="0" fontId="2" fillId="0" borderId="0" xfId="81" applyAlignment="1" applyProtection="1">
      <alignment horizontal="left" vertical="center"/>
      <protection locked="0"/>
    </xf>
    <xf numFmtId="164" fontId="97" fillId="0" borderId="0" xfId="82" applyNumberFormat="1" applyFont="1" applyAlignment="1">
      <alignment horizontal="left" vertical="center"/>
    </xf>
    <xf numFmtId="0" fontId="19" fillId="0" borderId="0" xfId="81" quotePrefix="1" applyFont="1" applyAlignment="1">
      <alignment horizontal="left" vertical="center"/>
    </xf>
    <xf numFmtId="0" fontId="128" fillId="0" borderId="9" xfId="81" quotePrefix="1" applyFont="1" applyBorder="1" applyAlignment="1">
      <alignment horizontal="left" vertical="center"/>
    </xf>
    <xf numFmtId="0" fontId="128" fillId="0" borderId="0" xfId="81" quotePrefix="1" applyFont="1" applyAlignment="1">
      <alignment horizontal="left" vertical="center"/>
    </xf>
    <xf numFmtId="0" fontId="2" fillId="0" borderId="0" xfId="81" quotePrefix="1" applyAlignment="1">
      <alignment horizontal="right" vertical="center"/>
    </xf>
    <xf numFmtId="0" fontId="41" fillId="32" borderId="0" xfId="81" quotePrefix="1" applyFont="1" applyFill="1" applyAlignment="1">
      <alignment horizontal="left" vertical="center" wrapText="1"/>
    </xf>
    <xf numFmtId="0" fontId="41" fillId="32" borderId="12" xfId="81" quotePrefix="1" applyFont="1" applyFill="1" applyBorder="1" applyAlignment="1">
      <alignment horizontal="left" vertical="center" wrapText="1"/>
    </xf>
    <xf numFmtId="0" fontId="41" fillId="32" borderId="22" xfId="81" applyFont="1" applyFill="1" applyBorder="1" applyAlignment="1">
      <alignment horizontal="left" vertical="center" wrapText="1"/>
    </xf>
    <xf numFmtId="0" fontId="41" fillId="32" borderId="17" xfId="81" applyFont="1" applyFill="1" applyBorder="1" applyAlignment="1">
      <alignment horizontal="left" vertical="center" wrapText="1"/>
    </xf>
    <xf numFmtId="0" fontId="124" fillId="0" borderId="42" xfId="80" applyFont="1" applyBorder="1" applyAlignment="1">
      <alignment horizontal="center" vertical="center" wrapText="1"/>
    </xf>
    <xf numFmtId="0" fontId="124" fillId="0" borderId="43" xfId="80" applyFont="1" applyBorder="1" applyAlignment="1">
      <alignment horizontal="center" vertical="center"/>
    </xf>
    <xf numFmtId="0" fontId="124" fillId="0" borderId="78" xfId="80" applyFont="1" applyBorder="1" applyAlignment="1">
      <alignment horizontal="center" vertical="center"/>
    </xf>
    <xf numFmtId="0" fontId="117" fillId="17" borderId="38" xfId="81" applyFont="1" applyFill="1" applyBorder="1" applyAlignment="1">
      <alignment horizontal="left" vertical="center" wrapText="1"/>
    </xf>
    <xf numFmtId="0" fontId="117" fillId="17" borderId="6" xfId="81" applyFont="1" applyFill="1" applyBorder="1" applyAlignment="1">
      <alignment horizontal="left" vertical="center" wrapText="1"/>
    </xf>
    <xf numFmtId="0" fontId="2" fillId="17" borderId="16" xfId="81" applyFill="1" applyBorder="1" applyAlignment="1">
      <alignment horizontal="right" vertical="center" wrapText="1"/>
    </xf>
    <xf numFmtId="0" fontId="2" fillId="17" borderId="5" xfId="81" applyFill="1" applyBorder="1" applyAlignment="1">
      <alignment horizontal="right" vertical="center" wrapText="1"/>
    </xf>
    <xf numFmtId="0" fontId="98" fillId="24" borderId="117" xfId="81" applyFont="1" applyFill="1" applyBorder="1" applyAlignment="1" applyProtection="1">
      <alignment horizontal="center" vertical="center" wrapText="1"/>
      <protection locked="0"/>
    </xf>
    <xf numFmtId="0" fontId="98" fillId="24" borderId="10" xfId="81" applyFont="1" applyFill="1" applyBorder="1" applyAlignment="1" applyProtection="1">
      <alignment horizontal="center" vertical="center" wrapText="1"/>
      <protection locked="0"/>
    </xf>
    <xf numFmtId="0" fontId="2" fillId="17" borderId="73" xfId="81" applyFill="1" applyBorder="1" applyAlignment="1">
      <alignment horizontal="left" vertical="center" wrapText="1"/>
    </xf>
    <xf numFmtId="0" fontId="2" fillId="17" borderId="57" xfId="81" applyFill="1" applyBorder="1" applyAlignment="1">
      <alignment horizontal="left" vertical="center" wrapText="1"/>
    </xf>
    <xf numFmtId="0" fontId="98" fillId="0" borderId="62" xfId="81" applyFont="1" applyFill="1" applyBorder="1" applyAlignment="1" applyProtection="1">
      <alignment horizontal="left" vertical="center" wrapText="1"/>
      <protection locked="0"/>
    </xf>
    <xf numFmtId="0" fontId="98" fillId="0" borderId="57" xfId="81" applyFont="1" applyFill="1" applyBorder="1" applyAlignment="1" applyProtection="1">
      <alignment horizontal="left" vertical="center" wrapText="1"/>
      <protection locked="0"/>
    </xf>
    <xf numFmtId="0" fontId="98" fillId="0" borderId="74" xfId="81" applyFont="1" applyFill="1" applyBorder="1" applyAlignment="1" applyProtection="1">
      <alignment horizontal="left" vertical="center" wrapText="1"/>
      <protection locked="0"/>
    </xf>
    <xf numFmtId="0" fontId="41" fillId="0" borderId="29" xfId="85" applyFont="1" applyBorder="1" applyAlignment="1">
      <alignment horizontal="center" vertical="center" wrapText="1"/>
    </xf>
    <xf numFmtId="0" fontId="41" fillId="0" borderId="21" xfId="85" applyFont="1" applyBorder="1" applyAlignment="1">
      <alignment horizontal="center" vertical="center" wrapText="1"/>
    </xf>
    <xf numFmtId="0" fontId="41" fillId="0" borderId="32" xfId="85" applyFont="1" applyBorder="1" applyAlignment="1">
      <alignment horizontal="center" vertical="center" wrapText="1"/>
    </xf>
    <xf numFmtId="0" fontId="111" fillId="0" borderId="42" xfId="85" applyFont="1" applyBorder="1" applyAlignment="1">
      <alignment horizontal="left" vertical="center"/>
    </xf>
    <xf numFmtId="0" fontId="111" fillId="0" borderId="43" xfId="85" applyFont="1" applyBorder="1" applyAlignment="1">
      <alignment horizontal="left" vertical="center"/>
    </xf>
    <xf numFmtId="0" fontId="98" fillId="0" borderId="75" xfId="85" applyFont="1" applyBorder="1" applyAlignment="1">
      <alignment horizontal="left" vertical="center"/>
    </xf>
    <xf numFmtId="0" fontId="98" fillId="0" borderId="43" xfId="85" applyFont="1" applyBorder="1" applyAlignment="1">
      <alignment horizontal="left" vertical="center"/>
    </xf>
    <xf numFmtId="0" fontId="98" fillId="0" borderId="44" xfId="85" applyFont="1" applyBorder="1" applyAlignment="1">
      <alignment horizontal="left" vertical="center"/>
    </xf>
    <xf numFmtId="0" fontId="111" fillId="0" borderId="75" xfId="85" applyFont="1" applyBorder="1" applyAlignment="1">
      <alignment horizontal="right" vertical="center"/>
    </xf>
    <xf numFmtId="0" fontId="111" fillId="0" borderId="44" xfId="85" applyFont="1" applyBorder="1" applyAlignment="1">
      <alignment horizontal="right" vertical="center"/>
    </xf>
    <xf numFmtId="0" fontId="111" fillId="0" borderId="43" xfId="85" applyFont="1" applyBorder="1" applyAlignment="1">
      <alignment horizontal="right" vertical="center"/>
    </xf>
    <xf numFmtId="0" fontId="98" fillId="0" borderId="75" xfId="85" applyFont="1" applyFill="1" applyBorder="1" applyAlignment="1" applyProtection="1">
      <alignment horizontal="center" vertical="center"/>
      <protection locked="0"/>
    </xf>
    <xf numFmtId="0" fontId="98" fillId="0" borderId="43" xfId="85" applyFont="1" applyFill="1" applyBorder="1" applyAlignment="1" applyProtection="1">
      <alignment horizontal="center" vertical="center"/>
      <protection locked="0"/>
    </xf>
    <xf numFmtId="0" fontId="98" fillId="0" borderId="75" xfId="85" applyFont="1" applyBorder="1" applyAlignment="1" applyProtection="1">
      <alignment horizontal="center" vertical="center"/>
      <protection locked="0"/>
    </xf>
    <xf numFmtId="0" fontId="98" fillId="0" borderId="78" xfId="85" applyFont="1" applyBorder="1" applyAlignment="1" applyProtection="1">
      <alignment horizontal="center" vertical="center"/>
      <protection locked="0"/>
    </xf>
    <xf numFmtId="0" fontId="111" fillId="0" borderId="119" xfId="85" applyFont="1" applyBorder="1" applyAlignment="1">
      <alignment horizontal="center" vertical="center"/>
    </xf>
    <xf numFmtId="0" fontId="111" fillId="0" borderId="7" xfId="85" applyFont="1" applyBorder="1" applyAlignment="1">
      <alignment horizontal="center" vertical="center"/>
    </xf>
    <xf numFmtId="0" fontId="111" fillId="0" borderId="8" xfId="85" applyFont="1" applyBorder="1" applyAlignment="1">
      <alignment horizontal="center" vertical="center"/>
    </xf>
    <xf numFmtId="0" fontId="111" fillId="0" borderId="119" xfId="85" applyFont="1" applyBorder="1" applyAlignment="1" applyProtection="1">
      <alignment horizontal="center" vertical="center"/>
      <protection locked="0"/>
    </xf>
    <xf numFmtId="0" fontId="111" fillId="0" borderId="7" xfId="85" applyFont="1" applyBorder="1" applyAlignment="1" applyProtection="1">
      <alignment horizontal="center" vertical="center"/>
      <protection locked="0"/>
    </xf>
    <xf numFmtId="0" fontId="111" fillId="0" borderId="25" xfId="85" applyFont="1" applyBorder="1" applyAlignment="1" applyProtection="1">
      <alignment horizontal="center" vertical="center"/>
      <protection locked="0"/>
    </xf>
    <xf numFmtId="0" fontId="19" fillId="0" borderId="38" xfId="88" applyFont="1" applyBorder="1" applyAlignment="1">
      <alignment horizontal="center" vertical="center"/>
    </xf>
    <xf numFmtId="0" fontId="19" fillId="0" borderId="6" xfId="88" applyFont="1" applyBorder="1" applyAlignment="1">
      <alignment horizontal="center" vertical="center"/>
    </xf>
    <xf numFmtId="0" fontId="19" fillId="0" borderId="5" xfId="88" applyFont="1" applyBorder="1" applyAlignment="1">
      <alignment horizontal="center" vertical="center"/>
    </xf>
    <xf numFmtId="0" fontId="19" fillId="0" borderId="61" xfId="88" applyFont="1" applyBorder="1" applyAlignment="1">
      <alignment horizontal="center" vertical="center"/>
    </xf>
    <xf numFmtId="0" fontId="19" fillId="0" borderId="1" xfId="88" applyFont="1" applyBorder="1" applyAlignment="1">
      <alignment horizontal="center" vertical="center"/>
    </xf>
    <xf numFmtId="0" fontId="19" fillId="0" borderId="2" xfId="88" applyFont="1" applyBorder="1" applyAlignment="1">
      <alignment horizontal="center" vertical="center"/>
    </xf>
    <xf numFmtId="0" fontId="19" fillId="0" borderId="119" xfId="88" applyFont="1" applyBorder="1" applyAlignment="1">
      <alignment horizontal="center" vertical="center" wrapText="1"/>
    </xf>
    <xf numFmtId="0" fontId="19" fillId="0" borderId="7" xfId="88" applyFont="1" applyBorder="1" applyAlignment="1">
      <alignment horizontal="center" vertical="center" wrapText="1"/>
    </xf>
    <xf numFmtId="0" fontId="19" fillId="0" borderId="8" xfId="88" applyFont="1" applyBorder="1" applyAlignment="1">
      <alignment horizontal="center" vertical="center" wrapText="1"/>
    </xf>
    <xf numFmtId="0" fontId="19" fillId="0" borderId="46" xfId="88" applyFont="1" applyBorder="1" applyAlignment="1">
      <alignment horizontal="center" vertical="center" wrapText="1"/>
    </xf>
    <xf numFmtId="0" fontId="19" fillId="0" borderId="49" xfId="88" applyFont="1" applyBorder="1" applyAlignment="1">
      <alignment horizontal="center" vertical="center" wrapText="1"/>
    </xf>
    <xf numFmtId="0" fontId="111" fillId="0" borderId="18" xfId="85" applyFont="1" applyBorder="1" applyAlignment="1">
      <alignment horizontal="left" vertical="center"/>
    </xf>
    <xf numFmtId="0" fontId="111" fillId="0" borderId="7" xfId="85" applyFont="1" applyBorder="1" applyAlignment="1">
      <alignment horizontal="left" vertical="center"/>
    </xf>
    <xf numFmtId="0" fontId="111" fillId="0" borderId="119" xfId="85" applyFont="1" applyBorder="1" applyAlignment="1">
      <alignment horizontal="right" vertical="center"/>
    </xf>
    <xf numFmtId="0" fontId="111" fillId="0" borderId="7" xfId="85" applyFont="1" applyBorder="1" applyAlignment="1">
      <alignment horizontal="right" vertical="center"/>
    </xf>
    <xf numFmtId="0" fontId="111" fillId="0" borderId="8" xfId="85" applyFont="1" applyBorder="1" applyAlignment="1">
      <alignment horizontal="right" vertical="center"/>
    </xf>
    <xf numFmtId="0" fontId="102" fillId="0" borderId="119" xfId="85" applyFont="1" applyBorder="1" applyAlignment="1" applyProtection="1">
      <alignment horizontal="center" vertical="center" shrinkToFit="1"/>
      <protection locked="0"/>
    </xf>
    <xf numFmtId="0" fontId="102" fillId="0" borderId="7" xfId="85" applyFont="1" applyBorder="1" applyAlignment="1" applyProtection="1">
      <alignment horizontal="center" vertical="center" shrinkToFit="1"/>
      <protection locked="0"/>
    </xf>
    <xf numFmtId="0" fontId="102" fillId="0" borderId="8" xfId="85" applyFont="1" applyBorder="1" applyAlignment="1" applyProtection="1">
      <alignment horizontal="center" vertical="center" shrinkToFit="1"/>
      <protection locked="0"/>
    </xf>
    <xf numFmtId="0" fontId="2" fillId="0" borderId="26" xfId="88" applyBorder="1" applyAlignment="1">
      <alignment horizontal="center" vertical="center"/>
    </xf>
    <xf numFmtId="0" fontId="2" fillId="0" borderId="118" xfId="88" applyBorder="1" applyAlignment="1">
      <alignment horizontal="center" vertical="center"/>
    </xf>
    <xf numFmtId="164" fontId="2" fillId="0" borderId="118" xfId="88" applyNumberFormat="1" applyBorder="1" applyAlignment="1">
      <alignment horizontal="center" vertical="center"/>
    </xf>
    <xf numFmtId="1" fontId="2" fillId="0" borderId="119" xfId="88" applyNumberFormat="1" applyFill="1" applyBorder="1" applyAlignment="1" applyProtection="1">
      <alignment horizontal="center" vertical="center"/>
    </xf>
    <xf numFmtId="1" fontId="2" fillId="0" borderId="7" xfId="88" applyNumberFormat="1" applyFill="1" applyBorder="1" applyAlignment="1" applyProtection="1">
      <alignment horizontal="center" vertical="center"/>
    </xf>
    <xf numFmtId="1" fontId="2" fillId="0" borderId="8" xfId="88" applyNumberFormat="1" applyFill="1" applyBorder="1" applyAlignment="1" applyProtection="1">
      <alignment horizontal="center" vertical="center"/>
    </xf>
    <xf numFmtId="164" fontId="2" fillId="3" borderId="118" xfId="88" applyNumberFormat="1" applyFill="1" applyBorder="1" applyAlignment="1">
      <alignment horizontal="center" vertical="center"/>
    </xf>
    <xf numFmtId="164" fontId="2" fillId="3" borderId="28" xfId="88" applyNumberFormat="1" applyFill="1" applyBorder="1" applyAlignment="1">
      <alignment horizontal="center" vertical="center"/>
    </xf>
    <xf numFmtId="0" fontId="16" fillId="0" borderId="18" xfId="88" applyFont="1" applyBorder="1" applyAlignment="1">
      <alignment horizontal="left" vertical="center"/>
    </xf>
    <xf numFmtId="0" fontId="16" fillId="0" borderId="7" xfId="88" applyFont="1" applyBorder="1" applyAlignment="1">
      <alignment horizontal="left" vertical="center"/>
    </xf>
    <xf numFmtId="0" fontId="16" fillId="0" borderId="7" xfId="88" applyFont="1" applyBorder="1" applyAlignment="1">
      <alignment horizontal="right" vertical="center"/>
    </xf>
    <xf numFmtId="0" fontId="16" fillId="0" borderId="8" xfId="88" applyFont="1" applyBorder="1" applyAlignment="1">
      <alignment horizontal="right" vertical="center"/>
    </xf>
    <xf numFmtId="1" fontId="2" fillId="0" borderId="119" xfId="88" applyNumberFormat="1" applyBorder="1" applyAlignment="1">
      <alignment horizontal="center" vertical="center"/>
    </xf>
    <xf numFmtId="1" fontId="2" fillId="0" borderId="7" xfId="88" applyNumberFormat="1" applyBorder="1" applyAlignment="1">
      <alignment horizontal="center" vertical="center"/>
    </xf>
    <xf numFmtId="1" fontId="2" fillId="0" borderId="8" xfId="88" applyNumberFormat="1" applyBorder="1" applyAlignment="1">
      <alignment horizontal="center" vertical="center"/>
    </xf>
    <xf numFmtId="0" fontId="19" fillId="0" borderId="119" xfId="88" applyFont="1" applyBorder="1" applyAlignment="1">
      <alignment horizontal="center" vertical="center"/>
    </xf>
    <xf numFmtId="0" fontId="19" fillId="0" borderId="7" xfId="88" applyFont="1" applyBorder="1" applyAlignment="1">
      <alignment horizontal="center" vertical="center"/>
    </xf>
    <xf numFmtId="0" fontId="19" fillId="0" borderId="25" xfId="88" applyFont="1" applyBorder="1" applyAlignment="1">
      <alignment horizontal="center" vertical="center"/>
    </xf>
    <xf numFmtId="0" fontId="16" fillId="0" borderId="73" xfId="88" applyFont="1" applyBorder="1" applyAlignment="1">
      <alignment horizontal="left" vertical="center"/>
    </xf>
    <xf numFmtId="0" fontId="16" fillId="0" borderId="57" xfId="88" applyFont="1" applyBorder="1" applyAlignment="1">
      <alignment horizontal="left" vertical="center"/>
    </xf>
    <xf numFmtId="0" fontId="16" fillId="0" borderId="74" xfId="88" applyFont="1" applyBorder="1" applyAlignment="1">
      <alignment horizontal="left" vertical="center"/>
    </xf>
    <xf numFmtId="164" fontId="19" fillId="0" borderId="62" xfId="88" applyNumberFormat="1" applyFont="1" applyBorder="1" applyAlignment="1">
      <alignment horizontal="center" vertical="center"/>
    </xf>
    <xf numFmtId="164" fontId="19" fillId="0" borderId="57" xfId="88" applyNumberFormat="1" applyFont="1" applyBorder="1" applyAlignment="1">
      <alignment horizontal="center" vertical="center"/>
    </xf>
    <xf numFmtId="164" fontId="19" fillId="0" borderId="70" xfId="88" applyNumberFormat="1" applyFont="1" applyBorder="1" applyAlignment="1">
      <alignment horizontal="center" vertical="center"/>
    </xf>
    <xf numFmtId="0" fontId="19" fillId="16" borderId="29" xfId="88" applyFont="1" applyFill="1" applyBorder="1" applyAlignment="1">
      <alignment horizontal="left"/>
    </xf>
    <xf numFmtId="0" fontId="19" fillId="16" borderId="21" xfId="88" applyFont="1" applyFill="1" applyBorder="1" applyAlignment="1">
      <alignment horizontal="left"/>
    </xf>
    <xf numFmtId="0" fontId="19" fillId="16" borderId="58" xfId="88" applyFont="1" applyFill="1" applyBorder="1" applyAlignment="1">
      <alignment horizontal="left"/>
    </xf>
    <xf numFmtId="0" fontId="19" fillId="16" borderId="76" xfId="88" applyFont="1" applyFill="1" applyBorder="1" applyAlignment="1">
      <alignment horizontal="center" vertical="center"/>
    </xf>
    <xf numFmtId="0" fontId="19" fillId="16" borderId="21" xfId="88" applyFont="1" applyFill="1" applyBorder="1" applyAlignment="1">
      <alignment horizontal="center" vertical="center"/>
    </xf>
    <xf numFmtId="0" fontId="19" fillId="16" borderId="58" xfId="88" applyFont="1" applyFill="1" applyBorder="1" applyAlignment="1">
      <alignment horizontal="center" vertical="center"/>
    </xf>
    <xf numFmtId="0" fontId="2" fillId="16" borderId="76" xfId="88" applyFill="1" applyBorder="1" applyAlignment="1">
      <alignment horizontal="center"/>
    </xf>
    <xf numFmtId="0" fontId="2" fillId="16" borderId="21" xfId="88" applyFill="1" applyBorder="1" applyAlignment="1">
      <alignment horizontal="center"/>
    </xf>
    <xf numFmtId="0" fontId="2" fillId="16" borderId="32" xfId="88" applyFill="1" applyBorder="1" applyAlignment="1">
      <alignment horizontal="center"/>
    </xf>
    <xf numFmtId="0" fontId="2" fillId="0" borderId="35" xfId="88" applyBorder="1" applyAlignment="1">
      <alignment horizontal="left" vertical="center" wrapText="1"/>
    </xf>
    <xf numFmtId="0" fontId="2" fillId="0" borderId="17" xfId="88" applyBorder="1" applyAlignment="1">
      <alignment horizontal="left" vertical="center" wrapText="1"/>
    </xf>
    <xf numFmtId="0" fontId="2" fillId="0" borderId="106" xfId="88" applyBorder="1" applyAlignment="1">
      <alignment horizontal="left" vertical="center" wrapText="1"/>
    </xf>
    <xf numFmtId="0" fontId="2" fillId="0" borderId="6" xfId="88" applyBorder="1" applyAlignment="1">
      <alignment horizontal="left" vertical="center" wrapText="1"/>
    </xf>
    <xf numFmtId="0" fontId="2" fillId="0" borderId="5" xfId="88" applyBorder="1" applyAlignment="1">
      <alignment horizontal="left" vertical="center" wrapText="1"/>
    </xf>
    <xf numFmtId="164" fontId="2" fillId="0" borderId="35" xfId="88" applyNumberFormat="1" applyBorder="1" applyAlignment="1">
      <alignment horizontal="center" vertical="center"/>
    </xf>
    <xf numFmtId="164" fontId="2" fillId="0" borderId="17" xfId="88" applyNumberFormat="1" applyBorder="1" applyAlignment="1">
      <alignment horizontal="center" vertical="center"/>
    </xf>
    <xf numFmtId="164" fontId="2" fillId="0" borderId="30" xfId="88" applyNumberFormat="1" applyBorder="1" applyAlignment="1">
      <alignment horizontal="center" vertical="center"/>
    </xf>
    <xf numFmtId="164" fontId="2" fillId="0" borderId="16" xfId="88" applyNumberFormat="1" applyBorder="1" applyAlignment="1">
      <alignment horizontal="center" vertical="center"/>
    </xf>
    <xf numFmtId="164" fontId="2" fillId="0" borderId="6" xfId="88" applyNumberFormat="1" applyBorder="1" applyAlignment="1">
      <alignment horizontal="center" vertical="center"/>
    </xf>
    <xf numFmtId="164" fontId="2" fillId="0" borderId="37" xfId="88" applyNumberFormat="1" applyBorder="1" applyAlignment="1">
      <alignment horizontal="center" vertical="center"/>
    </xf>
    <xf numFmtId="0" fontId="2" fillId="0" borderId="7" xfId="88" applyBorder="1" applyAlignment="1">
      <alignment horizontal="center"/>
    </xf>
    <xf numFmtId="0" fontId="17" fillId="0" borderId="50" xfId="88" applyFont="1" applyBorder="1" applyAlignment="1">
      <alignment horizontal="center" vertical="top" wrapText="1"/>
    </xf>
    <xf numFmtId="0" fontId="17" fillId="0" borderId="116" xfId="88" applyFont="1" applyBorder="1" applyAlignment="1">
      <alignment horizontal="center" vertical="top" wrapText="1"/>
    </xf>
    <xf numFmtId="0" fontId="2" fillId="0" borderId="1" xfId="88" applyBorder="1" applyAlignment="1">
      <alignment horizontal="left" vertical="top" wrapText="1"/>
    </xf>
    <xf numFmtId="0" fontId="2" fillId="0" borderId="2" xfId="88" applyBorder="1" applyAlignment="1">
      <alignment horizontal="left" vertical="top" wrapText="1"/>
    </xf>
    <xf numFmtId="0" fontId="2" fillId="0" borderId="12" xfId="88" applyBorder="1" applyAlignment="1">
      <alignment horizontal="left" vertical="top" wrapText="1"/>
    </xf>
    <xf numFmtId="0" fontId="2" fillId="0" borderId="56" xfId="88" applyBorder="1" applyAlignment="1">
      <alignment horizontal="left" vertical="top" wrapText="1"/>
    </xf>
    <xf numFmtId="164" fontId="2" fillId="0" borderId="117" xfId="88" applyNumberFormat="1" applyBorder="1" applyAlignment="1">
      <alignment horizontal="center" vertical="center"/>
    </xf>
    <xf numFmtId="164" fontId="2" fillId="0" borderId="0" xfId="88" applyNumberFormat="1" applyAlignment="1">
      <alignment horizontal="center" vertical="center"/>
    </xf>
    <xf numFmtId="164" fontId="2" fillId="0" borderId="10" xfId="88" applyNumberFormat="1" applyBorder="1" applyAlignment="1">
      <alignment horizontal="center" vertical="center"/>
    </xf>
    <xf numFmtId="164" fontId="2" fillId="0" borderId="59" xfId="88" applyNumberFormat="1" applyBorder="1" applyAlignment="1">
      <alignment horizontal="center" vertical="center"/>
    </xf>
    <xf numFmtId="164" fontId="2" fillId="0" borderId="12" xfId="88" applyNumberFormat="1" applyBorder="1" applyAlignment="1">
      <alignment horizontal="center" vertical="center"/>
    </xf>
    <xf numFmtId="164" fontId="2" fillId="0" borderId="13" xfId="88" applyNumberFormat="1" applyBorder="1" applyAlignment="1">
      <alignment horizontal="center" vertical="center"/>
    </xf>
    <xf numFmtId="0" fontId="2" fillId="0" borderId="56" xfId="88" applyBorder="1" applyAlignment="1">
      <alignment horizontal="center"/>
    </xf>
    <xf numFmtId="0" fontId="2" fillId="0" borderId="17" xfId="88" applyBorder="1" applyAlignment="1">
      <alignment horizontal="left" vertical="top" wrapText="1"/>
    </xf>
    <xf numFmtId="0" fontId="2" fillId="0" borderId="106" xfId="88" applyBorder="1" applyAlignment="1">
      <alignment horizontal="left" vertical="top" wrapText="1"/>
    </xf>
    <xf numFmtId="0" fontId="19" fillId="0" borderId="111" xfId="88" applyFont="1" applyBorder="1" applyAlignment="1">
      <alignment horizontal="center" vertical="top"/>
    </xf>
    <xf numFmtId="0" fontId="19" fillId="0" borderId="51" xfId="88" applyFont="1" applyBorder="1" applyAlignment="1">
      <alignment horizontal="center" vertical="top"/>
    </xf>
    <xf numFmtId="0" fontId="2" fillId="0" borderId="6" xfId="88" applyBorder="1" applyAlignment="1">
      <alignment horizontal="left" vertical="top" wrapText="1"/>
    </xf>
    <xf numFmtId="0" fontId="2" fillId="0" borderId="5" xfId="88" applyBorder="1" applyAlignment="1">
      <alignment horizontal="left" vertical="top" wrapText="1"/>
    </xf>
    <xf numFmtId="0" fontId="16" fillId="0" borderId="16" xfId="88" applyFont="1" applyBorder="1" applyAlignment="1">
      <alignment horizontal="center" vertical="center"/>
    </xf>
    <xf numFmtId="0" fontId="16" fillId="0" borderId="6" xfId="88" applyFont="1" applyBorder="1" applyAlignment="1">
      <alignment horizontal="center" vertical="center"/>
    </xf>
    <xf numFmtId="0" fontId="16" fillId="0" borderId="5" xfId="88" applyFont="1" applyBorder="1" applyAlignment="1">
      <alignment horizontal="center" vertical="center"/>
    </xf>
    <xf numFmtId="0" fontId="2" fillId="0" borderId="21" xfId="88" applyBorder="1" applyAlignment="1">
      <alignment horizontal="left" vertical="top" wrapText="1"/>
    </xf>
    <xf numFmtId="0" fontId="2" fillId="0" borderId="58" xfId="88" applyBorder="1" applyAlignment="1">
      <alignment horizontal="left" vertical="top" wrapText="1"/>
    </xf>
    <xf numFmtId="164" fontId="2" fillId="0" borderId="21" xfId="88" applyNumberFormat="1" applyBorder="1" applyAlignment="1">
      <alignment horizontal="center" vertical="center"/>
    </xf>
    <xf numFmtId="164" fontId="2" fillId="0" borderId="32" xfId="88" applyNumberFormat="1" applyBorder="1" applyAlignment="1">
      <alignment horizontal="center" vertical="center"/>
    </xf>
    <xf numFmtId="164" fontId="64" fillId="0" borderId="61" xfId="88" applyNumberFormat="1" applyFont="1" applyBorder="1" applyAlignment="1">
      <alignment horizontal="center" vertical="center" wrapText="1"/>
    </xf>
    <xf numFmtId="164" fontId="64" fillId="0" borderId="1" xfId="88" applyNumberFormat="1" applyFont="1" applyBorder="1" applyAlignment="1">
      <alignment horizontal="center" vertical="center" wrapText="1"/>
    </xf>
    <xf numFmtId="164" fontId="64" fillId="0" borderId="34" xfId="88" applyNumberFormat="1" applyFont="1" applyBorder="1" applyAlignment="1">
      <alignment horizontal="center" vertical="center" wrapText="1"/>
    </xf>
    <xf numFmtId="164" fontId="64" fillId="0" borderId="117" xfId="88" applyNumberFormat="1" applyFont="1" applyBorder="1" applyAlignment="1">
      <alignment horizontal="center" vertical="center" wrapText="1"/>
    </xf>
    <xf numFmtId="164" fontId="64" fillId="0" borderId="0" xfId="88" applyNumberFormat="1" applyFont="1" applyAlignment="1">
      <alignment horizontal="center" vertical="center" wrapText="1"/>
    </xf>
    <xf numFmtId="164" fontId="64" fillId="0" borderId="10" xfId="88" applyNumberFormat="1" applyFont="1" applyBorder="1" applyAlignment="1">
      <alignment horizontal="center" vertical="center" wrapText="1"/>
    </xf>
    <xf numFmtId="164" fontId="64" fillId="0" borderId="59" xfId="88" applyNumberFormat="1" applyFont="1" applyBorder="1" applyAlignment="1">
      <alignment horizontal="center" vertical="center" wrapText="1"/>
    </xf>
    <xf numFmtId="164" fontId="64" fillId="0" borderId="12" xfId="88" applyNumberFormat="1" applyFont="1" applyBorder="1" applyAlignment="1">
      <alignment horizontal="center" vertical="center" wrapText="1"/>
    </xf>
    <xf numFmtId="164" fontId="64" fillId="0" borderId="13" xfId="88" applyNumberFormat="1" applyFont="1" applyBorder="1" applyAlignment="1">
      <alignment horizontal="center" vertical="center" wrapText="1"/>
    </xf>
    <xf numFmtId="4" fontId="142" fillId="0" borderId="119" xfId="88" applyNumberFormat="1" applyFont="1" applyBorder="1" applyAlignment="1">
      <alignment horizontal="center" vertical="center"/>
    </xf>
    <xf numFmtId="4" fontId="142" fillId="0" borderId="7" xfId="88" applyNumberFormat="1" applyFont="1" applyBorder="1" applyAlignment="1">
      <alignment horizontal="center" vertical="center"/>
    </xf>
    <xf numFmtId="4" fontId="142" fillId="0" borderId="8" xfId="88" applyNumberFormat="1" applyFont="1" applyBorder="1" applyAlignment="1">
      <alignment horizontal="center" vertical="center"/>
    </xf>
    <xf numFmtId="0" fontId="18" fillId="0" borderId="61" xfId="88" applyFont="1" applyBorder="1" applyAlignment="1">
      <alignment horizontal="left" vertical="top" wrapText="1" indent="1"/>
    </xf>
    <xf numFmtId="0" fontId="18" fillId="0" borderId="1" xfId="88" applyFont="1" applyBorder="1" applyAlignment="1">
      <alignment horizontal="left" vertical="top" wrapText="1" indent="1"/>
    </xf>
    <xf numFmtId="0" fontId="18" fillId="0" borderId="2" xfId="88" applyFont="1" applyBorder="1" applyAlignment="1">
      <alignment horizontal="left" vertical="top" wrapText="1" indent="1"/>
    </xf>
    <xf numFmtId="0" fontId="18" fillId="0" borderId="16" xfId="88" applyFont="1" applyBorder="1" applyAlignment="1">
      <alignment horizontal="left" vertical="top" wrapText="1" indent="1"/>
    </xf>
    <xf numFmtId="0" fontId="18" fillId="0" borderId="6" xfId="88" applyFont="1" applyBorder="1" applyAlignment="1">
      <alignment horizontal="left" vertical="top" wrapText="1" indent="1"/>
    </xf>
    <xf numFmtId="0" fontId="18" fillId="0" borderId="5" xfId="88" applyFont="1" applyBorder="1" applyAlignment="1">
      <alignment horizontal="left" vertical="top" wrapText="1" indent="1"/>
    </xf>
    <xf numFmtId="0" fontId="19" fillId="0" borderId="16" xfId="88" applyFont="1" applyBorder="1" applyAlignment="1" applyProtection="1">
      <alignment horizontal="center" vertical="center"/>
      <protection locked="0"/>
    </xf>
    <xf numFmtId="0" fontId="19" fillId="0" borderId="6" xfId="88" applyFont="1" applyBorder="1" applyAlignment="1" applyProtection="1">
      <alignment horizontal="center" vertical="center"/>
      <protection locked="0"/>
    </xf>
    <xf numFmtId="0" fontId="19" fillId="0" borderId="5" xfId="88" applyFont="1" applyBorder="1" applyAlignment="1" applyProtection="1">
      <alignment horizontal="center" vertical="center"/>
      <protection locked="0"/>
    </xf>
    <xf numFmtId="0" fontId="98" fillId="0" borderId="61" xfId="85" applyFont="1" applyBorder="1" applyAlignment="1">
      <alignment horizontal="left" vertical="top" wrapText="1" indent="1"/>
    </xf>
    <xf numFmtId="0" fontId="98" fillId="0" borderId="1" xfId="85" applyFont="1" applyBorder="1" applyAlignment="1">
      <alignment horizontal="left" vertical="top" wrapText="1" indent="1"/>
    </xf>
    <xf numFmtId="0" fontId="98" fillId="0" borderId="2" xfId="85" applyFont="1" applyBorder="1" applyAlignment="1">
      <alignment horizontal="left" vertical="top" wrapText="1" indent="1"/>
    </xf>
    <xf numFmtId="0" fontId="98" fillId="0" borderId="16" xfId="85" applyFont="1" applyBorder="1" applyAlignment="1">
      <alignment horizontal="left" vertical="top" wrapText="1" indent="1"/>
    </xf>
    <xf numFmtId="0" fontId="98" fillId="0" borderId="6" xfId="85" applyFont="1" applyBorder="1" applyAlignment="1">
      <alignment horizontal="left" vertical="top" wrapText="1" indent="1"/>
    </xf>
    <xf numFmtId="0" fontId="98" fillId="0" borderId="5" xfId="85" applyFont="1" applyBorder="1" applyAlignment="1">
      <alignment horizontal="left" vertical="top" wrapText="1" indent="1"/>
    </xf>
    <xf numFmtId="0" fontId="2" fillId="0" borderId="35" xfId="88" applyBorder="1" applyAlignment="1">
      <alignment horizontal="left" vertical="top" wrapText="1"/>
    </xf>
    <xf numFmtId="0" fontId="2" fillId="0" borderId="59" xfId="88" applyBorder="1" applyAlignment="1">
      <alignment horizontal="left" vertical="top" wrapText="1"/>
    </xf>
    <xf numFmtId="0" fontId="2" fillId="0" borderId="57" xfId="88" applyBorder="1" applyAlignment="1">
      <alignment horizontal="center"/>
    </xf>
    <xf numFmtId="0" fontId="141" fillId="0" borderId="50" xfId="88" applyFont="1" applyBorder="1" applyAlignment="1">
      <alignment horizontal="center" vertical="center" textRotation="90"/>
    </xf>
    <xf numFmtId="0" fontId="141" fillId="0" borderId="23" xfId="88" applyFont="1" applyBorder="1" applyAlignment="1">
      <alignment horizontal="center" vertical="center" textRotation="90"/>
    </xf>
    <xf numFmtId="0" fontId="141" fillId="0" borderId="116" xfId="88" applyFont="1" applyBorder="1" applyAlignment="1">
      <alignment horizontal="center" vertical="center" textRotation="90"/>
    </xf>
    <xf numFmtId="0" fontId="18" fillId="0" borderId="117" xfId="88" applyFont="1" applyBorder="1" applyAlignment="1">
      <alignment horizontal="left" vertical="top" wrapText="1" indent="1"/>
    </xf>
    <xf numFmtId="0" fontId="18" fillId="0" borderId="0" xfId="88" applyFont="1" applyAlignment="1">
      <alignment horizontal="left" vertical="top" wrapText="1" indent="1"/>
    </xf>
    <xf numFmtId="0" fontId="18" fillId="0" borderId="4" xfId="88" applyFont="1" applyBorder="1" applyAlignment="1">
      <alignment horizontal="left" vertical="top" wrapText="1" indent="1"/>
    </xf>
    <xf numFmtId="0" fontId="18" fillId="0" borderId="59" xfId="88" applyFont="1" applyBorder="1" applyAlignment="1">
      <alignment horizontal="left" vertical="top" wrapText="1" indent="1"/>
    </xf>
    <xf numFmtId="0" fontId="18" fillId="0" borderId="12" xfId="88" applyFont="1" applyBorder="1" applyAlignment="1">
      <alignment horizontal="left" vertical="top" wrapText="1" indent="1"/>
    </xf>
    <xf numFmtId="0" fontId="18" fillId="0" borderId="56" xfId="88" applyFont="1" applyBorder="1" applyAlignment="1">
      <alignment horizontal="left" vertical="top" wrapText="1" indent="1"/>
    </xf>
    <xf numFmtId="4" fontId="142" fillId="0" borderId="0" xfId="88" applyNumberFormat="1" applyFont="1" applyAlignment="1">
      <alignment horizontal="center" vertical="center"/>
    </xf>
    <xf numFmtId="164" fontId="2" fillId="0" borderId="75" xfId="88" applyNumberFormat="1" applyBorder="1" applyAlignment="1">
      <alignment horizontal="center" vertical="center"/>
    </xf>
    <xf numFmtId="164" fontId="2" fillId="0" borderId="43" xfId="88" applyNumberFormat="1" applyBorder="1" applyAlignment="1">
      <alignment horizontal="center" vertical="center"/>
    </xf>
    <xf numFmtId="164" fontId="2" fillId="0" borderId="78" xfId="88" applyNumberFormat="1" applyBorder="1" applyAlignment="1">
      <alignment horizontal="center" vertical="center"/>
    </xf>
    <xf numFmtId="0" fontId="30" fillId="0" borderId="23" xfId="88" applyFont="1" applyBorder="1" applyAlignment="1">
      <alignment horizontal="center" vertical="top" wrapText="1"/>
    </xf>
    <xf numFmtId="0" fontId="30" fillId="0" borderId="116" xfId="88" applyFont="1" applyBorder="1" applyAlignment="1">
      <alignment horizontal="center" vertical="top" wrapText="1"/>
    </xf>
    <xf numFmtId="0" fontId="143" fillId="0" borderId="0" xfId="88" applyFont="1" applyAlignment="1">
      <alignment horizontal="center" vertical="center" wrapText="1"/>
    </xf>
    <xf numFmtId="0" fontId="143" fillId="0" borderId="10" xfId="88" applyFont="1" applyBorder="1" applyAlignment="1">
      <alignment horizontal="center" vertical="center" wrapText="1"/>
    </xf>
    <xf numFmtId="0" fontId="143" fillId="0" borderId="59" xfId="88" applyFont="1" applyBorder="1" applyAlignment="1">
      <alignment horizontal="center" vertical="center" wrapText="1"/>
    </xf>
    <xf numFmtId="0" fontId="143" fillId="0" borderId="12" xfId="88" applyFont="1" applyBorder="1" applyAlignment="1">
      <alignment horizontal="center" vertical="center" wrapText="1"/>
    </xf>
    <xf numFmtId="0" fontId="143" fillId="0" borderId="13" xfId="88" applyFont="1" applyBorder="1" applyAlignment="1">
      <alignment horizontal="center" vertical="center" wrapText="1"/>
    </xf>
    <xf numFmtId="0" fontId="2" fillId="0" borderId="12" xfId="88" applyBorder="1" applyAlignment="1">
      <alignment horizontal="left" vertical="center"/>
    </xf>
    <xf numFmtId="0" fontId="2" fillId="0" borderId="59" xfId="88" applyBorder="1" applyAlignment="1" applyProtection="1">
      <alignment horizontal="center" vertical="center" wrapText="1"/>
      <protection locked="0"/>
    </xf>
    <xf numFmtId="0" fontId="2" fillId="0" borderId="12" xfId="88" applyBorder="1" applyAlignment="1" applyProtection="1">
      <alignment horizontal="center" vertical="center" wrapText="1"/>
      <protection locked="0"/>
    </xf>
    <xf numFmtId="0" fontId="2" fillId="0" borderId="56" xfId="88" applyBorder="1" applyAlignment="1" applyProtection="1">
      <alignment horizontal="center" vertical="center" wrapText="1"/>
      <protection locked="0"/>
    </xf>
    <xf numFmtId="0" fontId="2" fillId="0" borderId="59" xfId="88" applyBorder="1" applyAlignment="1">
      <alignment horizontal="right" vertical="center" indent="1"/>
    </xf>
    <xf numFmtId="0" fontId="2" fillId="0" borderId="12" xfId="88" applyBorder="1" applyAlignment="1">
      <alignment horizontal="right" vertical="center" indent="1"/>
    </xf>
    <xf numFmtId="164" fontId="2" fillId="0" borderId="59" xfId="88" applyNumberFormat="1" applyBorder="1" applyAlignment="1" applyProtection="1">
      <alignment horizontal="center" vertical="center" wrapText="1"/>
      <protection locked="0"/>
    </xf>
    <xf numFmtId="164" fontId="2" fillId="0" borderId="12" xfId="88" applyNumberFormat="1" applyBorder="1" applyAlignment="1" applyProtection="1">
      <alignment horizontal="center" vertical="center" wrapText="1"/>
      <protection locked="0"/>
    </xf>
    <xf numFmtId="164" fontId="2" fillId="0" borderId="56" xfId="88" applyNumberFormat="1" applyBorder="1" applyAlignment="1" applyProtection="1">
      <alignment horizontal="center" vertical="center" wrapText="1"/>
      <protection locked="0"/>
    </xf>
    <xf numFmtId="0" fontId="19" fillId="0" borderId="0" xfId="88" applyFont="1" applyAlignment="1">
      <alignment horizontal="center"/>
    </xf>
    <xf numFmtId="0" fontId="19" fillId="0" borderId="12" xfId="88" applyFont="1" applyBorder="1" applyAlignment="1">
      <alignment horizontal="center"/>
    </xf>
    <xf numFmtId="4" fontId="132" fillId="0" borderId="61" xfId="88" applyNumberFormat="1" applyFont="1" applyBorder="1" applyAlignment="1">
      <alignment horizontal="center" vertical="center" wrapText="1"/>
    </xf>
    <xf numFmtId="4" fontId="132" fillId="0" borderId="1" xfId="88" applyNumberFormat="1" applyFont="1" applyBorder="1" applyAlignment="1">
      <alignment horizontal="center" vertical="center" wrapText="1"/>
    </xf>
    <xf numFmtId="4" fontId="132" fillId="0" borderId="34" xfId="88" applyNumberFormat="1" applyFont="1" applyBorder="1" applyAlignment="1">
      <alignment horizontal="center" vertical="center" wrapText="1"/>
    </xf>
    <xf numFmtId="4" fontId="132" fillId="0" borderId="59" xfId="88" applyNumberFormat="1" applyFont="1" applyBorder="1" applyAlignment="1">
      <alignment horizontal="center" vertical="center" wrapText="1"/>
    </xf>
    <xf numFmtId="4" fontId="132" fillId="0" borderId="12" xfId="88" applyNumberFormat="1" applyFont="1" applyBorder="1" applyAlignment="1">
      <alignment horizontal="center" vertical="center" wrapText="1"/>
    </xf>
    <xf numFmtId="4" fontId="132" fillId="0" borderId="13" xfId="88" applyNumberFormat="1" applyFont="1" applyBorder="1" applyAlignment="1">
      <alignment horizontal="center" vertical="center" wrapText="1"/>
    </xf>
    <xf numFmtId="0" fontId="2" fillId="0" borderId="62" xfId="88" applyBorder="1" applyAlignment="1">
      <alignment horizontal="left" vertical="center"/>
    </xf>
    <xf numFmtId="0" fontId="2" fillId="0" borderId="57" xfId="88" applyBorder="1" applyAlignment="1">
      <alignment horizontal="left" vertical="center"/>
    </xf>
    <xf numFmtId="0" fontId="2" fillId="0" borderId="62" xfId="88" applyBorder="1" applyAlignment="1">
      <alignment horizontal="center" vertical="center"/>
    </xf>
    <xf numFmtId="0" fontId="2" fillId="0" borderId="57" xfId="88" applyBorder="1" applyAlignment="1">
      <alignment horizontal="center" vertical="center"/>
    </xf>
    <xf numFmtId="0" fontId="2" fillId="0" borderId="62" xfId="88" applyBorder="1" applyAlignment="1">
      <alignment horizontal="right" vertical="center" wrapText="1"/>
    </xf>
    <xf numFmtId="0" fontId="2" fillId="0" borderId="57" xfId="88" applyBorder="1" applyAlignment="1">
      <alignment horizontal="right" vertical="center" wrapText="1"/>
    </xf>
    <xf numFmtId="164" fontId="2" fillId="0" borderId="62" xfId="88" applyNumberFormat="1" applyBorder="1" applyAlignment="1" applyProtection="1">
      <alignment horizontal="center" vertical="center" wrapText="1"/>
      <protection locked="0"/>
    </xf>
    <xf numFmtId="164" fontId="2" fillId="0" borderId="57" xfId="88" applyNumberFormat="1" applyBorder="1" applyAlignment="1" applyProtection="1">
      <alignment horizontal="center" vertical="center" wrapText="1"/>
      <protection locked="0"/>
    </xf>
    <xf numFmtId="164" fontId="2" fillId="0" borderId="74" xfId="88" applyNumberFormat="1" applyBorder="1" applyAlignment="1" applyProtection="1">
      <alignment horizontal="center" vertical="center" wrapText="1"/>
      <protection locked="0"/>
    </xf>
    <xf numFmtId="164" fontId="2" fillId="0" borderId="75" xfId="88" applyNumberFormat="1" applyBorder="1" applyAlignment="1" applyProtection="1">
      <alignment horizontal="center" vertical="center"/>
      <protection locked="0"/>
    </xf>
    <xf numFmtId="164" fontId="2" fillId="0" borderId="43" xfId="88" applyNumberFormat="1" applyBorder="1" applyAlignment="1" applyProtection="1">
      <alignment horizontal="center" vertical="center"/>
      <protection locked="0"/>
    </xf>
    <xf numFmtId="164" fontId="2" fillId="0" borderId="78" xfId="88" applyNumberFormat="1" applyBorder="1" applyAlignment="1" applyProtection="1">
      <alignment horizontal="center" vertical="center"/>
      <protection locked="0"/>
    </xf>
    <xf numFmtId="0" fontId="18" fillId="0" borderId="35" xfId="88" applyFont="1" applyBorder="1" applyAlignment="1">
      <alignment horizontal="left" vertical="top" wrapText="1"/>
    </xf>
    <xf numFmtId="0" fontId="18" fillId="0" borderId="17" xfId="88" applyFont="1" applyBorder="1" applyAlignment="1">
      <alignment horizontal="left" vertical="top" wrapText="1"/>
    </xf>
    <xf numFmtId="0" fontId="18" fillId="0" borderId="106" xfId="88" applyFont="1" applyBorder="1" applyAlignment="1">
      <alignment horizontal="left" vertical="top" wrapText="1"/>
    </xf>
    <xf numFmtId="0" fontId="18" fillId="0" borderId="117" xfId="88" applyFont="1" applyBorder="1" applyAlignment="1">
      <alignment horizontal="left" vertical="top" wrapText="1"/>
    </xf>
    <xf numFmtId="0" fontId="18" fillId="0" borderId="0" xfId="88" applyFont="1" applyAlignment="1">
      <alignment horizontal="left" vertical="top" wrapText="1"/>
    </xf>
    <xf numFmtId="0" fontId="18" fillId="0" borderId="4" xfId="88" applyFont="1" applyBorder="1" applyAlignment="1">
      <alignment horizontal="left" vertical="top" wrapText="1"/>
    </xf>
    <xf numFmtId="164" fontId="19" fillId="0" borderId="75" xfId="88" applyNumberFormat="1" applyFont="1" applyBorder="1" applyAlignment="1">
      <alignment horizontal="center" vertical="center" wrapText="1"/>
    </xf>
    <xf numFmtId="164" fontId="19" fillId="0" borderId="43" xfId="88" applyNumberFormat="1" applyFont="1" applyBorder="1" applyAlignment="1">
      <alignment horizontal="center" vertical="center" wrapText="1"/>
    </xf>
    <xf numFmtId="164" fontId="19" fillId="0" borderId="44" xfId="88" applyNumberFormat="1" applyFont="1" applyBorder="1" applyAlignment="1">
      <alignment horizontal="center" vertical="center" wrapText="1"/>
    </xf>
    <xf numFmtId="164" fontId="2" fillId="0" borderId="35" xfId="88" applyNumberFormat="1" applyBorder="1" applyAlignment="1">
      <alignment horizontal="center" vertical="center" wrapText="1"/>
    </xf>
    <xf numFmtId="164" fontId="2" fillId="0" borderId="17" xfId="88" applyNumberFormat="1" applyBorder="1" applyAlignment="1">
      <alignment horizontal="center" vertical="center" wrapText="1"/>
    </xf>
    <xf numFmtId="164" fontId="2" fillId="0" borderId="30" xfId="88" applyNumberFormat="1" applyBorder="1" applyAlignment="1">
      <alignment horizontal="center" vertical="center" wrapText="1"/>
    </xf>
    <xf numFmtId="0" fontId="2" fillId="0" borderId="59" xfId="90" applyBorder="1" applyAlignment="1">
      <alignment horizontal="left" vertical="top" wrapText="1"/>
    </xf>
    <xf numFmtId="0" fontId="2" fillId="0" borderId="12" xfId="90" applyBorder="1" applyAlignment="1">
      <alignment horizontal="left" vertical="top" wrapText="1"/>
    </xf>
    <xf numFmtId="0" fontId="2" fillId="0" borderId="56" xfId="90" applyBorder="1" applyAlignment="1">
      <alignment horizontal="left" vertical="top" wrapText="1"/>
    </xf>
    <xf numFmtId="164" fontId="2" fillId="0" borderId="59" xfId="90" applyNumberFormat="1" applyFill="1" applyBorder="1" applyAlignment="1" applyProtection="1">
      <alignment horizontal="center" vertical="center"/>
    </xf>
    <xf numFmtId="164" fontId="2" fillId="0" borderId="12" xfId="90" applyNumberFormat="1" applyFill="1" applyBorder="1" applyAlignment="1" applyProtection="1">
      <alignment horizontal="center" vertical="center"/>
    </xf>
    <xf numFmtId="164" fontId="2" fillId="0" borderId="56" xfId="90" applyNumberFormat="1" applyFill="1" applyBorder="1" applyAlignment="1" applyProtection="1">
      <alignment horizontal="center" vertical="center"/>
    </xf>
    <xf numFmtId="0" fontId="2" fillId="0" borderId="12" xfId="90" applyBorder="1" applyAlignment="1">
      <alignment horizontal="center" vertical="center"/>
    </xf>
    <xf numFmtId="0" fontId="2" fillId="0" borderId="13" xfId="90" applyBorder="1" applyAlignment="1">
      <alignment horizontal="center" vertical="center"/>
    </xf>
    <xf numFmtId="0" fontId="144" fillId="16" borderId="21" xfId="88" applyFont="1" applyFill="1" applyBorder="1" applyAlignment="1">
      <alignment horizontal="right" vertical="center" wrapText="1"/>
    </xf>
    <xf numFmtId="0" fontId="144" fillId="16" borderId="58" xfId="88" applyFont="1" applyFill="1" applyBorder="1" applyAlignment="1">
      <alignment horizontal="right" vertical="center" wrapText="1"/>
    </xf>
    <xf numFmtId="164" fontId="19" fillId="0" borderId="76" xfId="88" applyNumberFormat="1" applyFont="1" applyBorder="1" applyAlignment="1">
      <alignment horizontal="center" vertical="center"/>
    </xf>
    <xf numFmtId="164" fontId="19" fillId="0" borderId="21" xfId="88" applyNumberFormat="1" applyFont="1" applyBorder="1" applyAlignment="1">
      <alignment horizontal="center" vertical="center"/>
    </xf>
    <xf numFmtId="164" fontId="19" fillId="0" borderId="32" xfId="88" applyNumberFormat="1" applyFont="1" applyBorder="1" applyAlignment="1">
      <alignment horizontal="center" vertical="center"/>
    </xf>
    <xf numFmtId="0" fontId="101" fillId="0" borderId="19" xfId="88" applyFont="1" applyBorder="1" applyAlignment="1">
      <alignment horizontal="right" vertical="top" wrapText="1"/>
    </xf>
    <xf numFmtId="0" fontId="101" fillId="0" borderId="12" xfId="88" applyFont="1" applyBorder="1" applyAlignment="1">
      <alignment horizontal="right" vertical="top" wrapText="1"/>
    </xf>
    <xf numFmtId="0" fontId="101" fillId="0" borderId="56" xfId="88" applyFont="1" applyBorder="1" applyAlignment="1">
      <alignment horizontal="right" vertical="top" wrapText="1"/>
    </xf>
    <xf numFmtId="164" fontId="19" fillId="0" borderId="12" xfId="88" applyNumberFormat="1" applyFont="1" applyBorder="1" applyAlignment="1">
      <alignment horizontal="center" vertical="center"/>
    </xf>
    <xf numFmtId="164" fontId="19" fillId="0" borderId="13" xfId="88" applyNumberFormat="1" applyFont="1" applyBorder="1" applyAlignment="1">
      <alignment horizontal="center" vertical="center"/>
    </xf>
    <xf numFmtId="0" fontId="144" fillId="16" borderId="29" xfId="90" applyFont="1" applyFill="1" applyBorder="1" applyAlignment="1">
      <alignment horizontal="right" vertical="center"/>
    </xf>
    <xf numFmtId="0" fontId="144" fillId="16" borderId="21" xfId="90" applyFont="1" applyFill="1" applyBorder="1" applyAlignment="1">
      <alignment horizontal="right" vertical="center"/>
    </xf>
    <xf numFmtId="0" fontId="144" fillId="16" borderId="58" xfId="90" applyFont="1" applyFill="1" applyBorder="1" applyAlignment="1">
      <alignment horizontal="right" vertical="center"/>
    </xf>
    <xf numFmtId="9" fontId="19" fillId="16" borderId="76" xfId="90" applyNumberFormat="1" applyFont="1" applyFill="1" applyBorder="1" applyAlignment="1">
      <alignment horizontal="center" vertical="center"/>
    </xf>
    <xf numFmtId="9" fontId="19" fillId="16" borderId="21" xfId="90" applyNumberFormat="1" applyFont="1" applyFill="1" applyBorder="1" applyAlignment="1">
      <alignment horizontal="center" vertical="center"/>
    </xf>
    <xf numFmtId="9" fontId="19" fillId="16" borderId="58" xfId="90" applyNumberFormat="1" applyFont="1" applyFill="1" applyBorder="1" applyAlignment="1">
      <alignment horizontal="center" vertical="center"/>
    </xf>
    <xf numFmtId="0" fontId="19" fillId="16" borderId="21" xfId="90" applyFont="1" applyFill="1" applyBorder="1" applyAlignment="1">
      <alignment horizontal="center" vertical="center"/>
    </xf>
    <xf numFmtId="0" fontId="19" fillId="16" borderId="32" xfId="90" applyFont="1" applyFill="1" applyBorder="1" applyAlignment="1">
      <alignment horizontal="center" vertical="center"/>
    </xf>
    <xf numFmtId="0" fontId="150" fillId="0" borderId="27" xfId="0" applyFont="1" applyFill="1" applyBorder="1" applyAlignment="1">
      <alignment horizontal="center" vertical="center"/>
    </xf>
    <xf numFmtId="0" fontId="10" fillId="17" borderId="0" xfId="0" applyFont="1" applyFill="1" applyAlignment="1">
      <alignment horizontal="right" vertical="center"/>
    </xf>
    <xf numFmtId="0" fontId="2" fillId="17" borderId="113" xfId="0" applyFont="1" applyFill="1" applyBorder="1" applyAlignment="1">
      <alignment horizontal="left" vertical="center" wrapText="1"/>
    </xf>
    <xf numFmtId="0" fontId="3" fillId="17" borderId="88" xfId="0" applyFont="1" applyFill="1" applyBorder="1" applyAlignment="1">
      <alignment horizontal="left" vertical="center" wrapText="1"/>
    </xf>
    <xf numFmtId="0" fontId="3" fillId="17" borderId="89" xfId="0" applyFont="1" applyFill="1" applyBorder="1" applyAlignment="1">
      <alignment horizontal="left" vertical="center" wrapText="1"/>
    </xf>
    <xf numFmtId="0" fontId="19" fillId="17" borderId="114" xfId="0" applyFont="1" applyFill="1" applyBorder="1" applyAlignment="1">
      <alignment horizontal="left" vertical="center" wrapText="1"/>
    </xf>
    <xf numFmtId="0" fontId="19" fillId="17" borderId="90" xfId="0" applyFont="1" applyFill="1" applyBorder="1" applyAlignment="1">
      <alignment horizontal="left" vertical="center" wrapText="1"/>
    </xf>
    <xf numFmtId="0" fontId="19" fillId="17" borderId="91" xfId="0" applyFont="1" applyFill="1" applyBorder="1" applyAlignment="1">
      <alignment horizontal="left" vertical="center" wrapText="1"/>
    </xf>
    <xf numFmtId="0" fontId="10" fillId="0" borderId="90" xfId="0" applyFont="1" applyFill="1" applyBorder="1" applyAlignment="1">
      <alignment horizontal="center" vertical="center"/>
    </xf>
    <xf numFmtId="0" fontId="10" fillId="17" borderId="27" xfId="0" applyFont="1" applyFill="1" applyBorder="1" applyAlignment="1">
      <alignment horizontal="left" vertical="center"/>
    </xf>
    <xf numFmtId="38" fontId="3" fillId="0" borderId="27" xfId="0" applyNumberFormat="1" applyFont="1" applyBorder="1" applyAlignment="1">
      <alignment horizontal="center" vertical="center"/>
    </xf>
    <xf numFmtId="0" fontId="19" fillId="17" borderId="27" xfId="0" applyFont="1" applyFill="1" applyBorder="1" applyAlignment="1">
      <alignment horizontal="center" vertical="center" wrapText="1"/>
    </xf>
    <xf numFmtId="0" fontId="19" fillId="17" borderId="27" xfId="0" applyFont="1" applyFill="1" applyBorder="1" applyAlignment="1">
      <alignment horizontal="center" wrapText="1"/>
    </xf>
    <xf numFmtId="164" fontId="3" fillId="17" borderId="27" xfId="0" applyNumberFormat="1" applyFont="1" applyFill="1" applyBorder="1" applyAlignment="1">
      <alignment horizontal="right" vertical="center" wrapText="1"/>
    </xf>
    <xf numFmtId="0" fontId="3" fillId="17" borderId="27" xfId="0" applyFont="1" applyFill="1" applyBorder="1" applyAlignment="1">
      <alignment horizontal="right" vertical="center" wrapText="1"/>
    </xf>
    <xf numFmtId="0" fontId="2" fillId="17" borderId="27" xfId="0" applyFont="1" applyFill="1" applyBorder="1" applyAlignment="1">
      <alignment horizontal="left" vertical="top" wrapText="1"/>
    </xf>
    <xf numFmtId="0" fontId="3" fillId="17" borderId="27" xfId="0" applyFont="1" applyFill="1" applyBorder="1" applyAlignment="1">
      <alignment horizontal="left" vertical="top" wrapText="1"/>
    </xf>
    <xf numFmtId="3" fontId="3" fillId="12" borderId="27" xfId="0" applyNumberFormat="1" applyFont="1" applyFill="1" applyBorder="1" applyAlignment="1" applyProtection="1">
      <alignment horizontal="center" vertical="center"/>
      <protection locked="0"/>
    </xf>
    <xf numFmtId="3" fontId="19" fillId="17" borderId="27" xfId="0" applyNumberFormat="1" applyFont="1" applyFill="1" applyBorder="1" applyAlignment="1">
      <alignment horizontal="center" vertical="center"/>
    </xf>
    <xf numFmtId="0" fontId="19" fillId="17" borderId="27" xfId="0" applyFont="1" applyFill="1" applyBorder="1" applyAlignment="1">
      <alignment horizontal="center" vertical="center"/>
    </xf>
    <xf numFmtId="164" fontId="19" fillId="17" borderId="27" xfId="0" applyNumberFormat="1" applyFont="1" applyFill="1" applyBorder="1" applyAlignment="1">
      <alignment horizontal="center" vertical="center"/>
    </xf>
    <xf numFmtId="0" fontId="19" fillId="17" borderId="27" xfId="0" applyFont="1" applyFill="1" applyBorder="1" applyAlignment="1">
      <alignment horizontal="left" vertical="center"/>
    </xf>
    <xf numFmtId="0" fontId="3" fillId="17" borderId="33" xfId="0" applyFont="1" applyFill="1" applyBorder="1" applyAlignment="1">
      <alignment horizontal="center"/>
    </xf>
    <xf numFmtId="0" fontId="3" fillId="17" borderId="7" xfId="0" applyFont="1" applyFill="1" applyBorder="1" applyAlignment="1">
      <alignment horizontal="center"/>
    </xf>
    <xf numFmtId="0" fontId="3" fillId="17" borderId="8" xfId="0" applyFont="1" applyFill="1" applyBorder="1" applyAlignment="1">
      <alignment horizontal="center"/>
    </xf>
    <xf numFmtId="164" fontId="3" fillId="17" borderId="27" xfId="0" applyNumberFormat="1" applyFont="1" applyFill="1" applyBorder="1" applyAlignment="1">
      <alignment horizontal="center" vertical="center"/>
    </xf>
    <xf numFmtId="0" fontId="60" fillId="17" borderId="27" xfId="18" applyFont="1" applyFill="1" applyBorder="1" applyAlignment="1" applyProtection="1">
      <alignment horizontal="left" vertical="top" wrapText="1"/>
    </xf>
    <xf numFmtId="0" fontId="20" fillId="0" borderId="52" xfId="0" applyFont="1" applyBorder="1" applyAlignment="1">
      <alignment horizontal="center" vertical="center"/>
    </xf>
    <xf numFmtId="0" fontId="20" fillId="0" borderId="47" xfId="0" applyFont="1" applyBorder="1" applyAlignment="1">
      <alignment horizontal="center" vertical="center"/>
    </xf>
    <xf numFmtId="0" fontId="20" fillId="0" borderId="69" xfId="0" applyFont="1" applyBorder="1" applyAlignment="1">
      <alignment horizontal="center" vertical="center"/>
    </xf>
    <xf numFmtId="0" fontId="20" fillId="0" borderId="71" xfId="0" applyFont="1" applyBorder="1" applyAlignment="1">
      <alignment horizontal="center" vertical="center"/>
    </xf>
    <xf numFmtId="0" fontId="20" fillId="0" borderId="51" xfId="0" applyFont="1" applyBorder="1" applyAlignment="1">
      <alignment horizontal="center" vertical="center"/>
    </xf>
    <xf numFmtId="0" fontId="20" fillId="0" borderId="46" xfId="0" applyFont="1" applyBorder="1" applyAlignment="1">
      <alignment horizontal="center" vertical="center"/>
    </xf>
    <xf numFmtId="0" fontId="20" fillId="0" borderId="22" xfId="0" applyFont="1" applyBorder="1" applyAlignment="1">
      <alignment horizontal="center" vertical="center"/>
    </xf>
    <xf numFmtId="0" fontId="20" fillId="0" borderId="17" xfId="0" applyFont="1" applyBorder="1" applyAlignment="1">
      <alignment horizontal="center" vertical="center"/>
    </xf>
    <xf numFmtId="0" fontId="20" fillId="0" borderId="30" xfId="0"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0" fillId="0" borderId="116" xfId="0" applyFont="1" applyBorder="1" applyAlignment="1">
      <alignment horizontal="center" vertical="center"/>
    </xf>
    <xf numFmtId="0" fontId="20" fillId="0" borderId="54" xfId="0" applyFont="1" applyBorder="1" applyAlignment="1">
      <alignment horizontal="center" vertical="center"/>
    </xf>
    <xf numFmtId="0" fontId="20" fillId="0" borderId="9" xfId="0" applyFont="1" applyBorder="1" applyAlignment="1">
      <alignment horizontal="left"/>
    </xf>
    <xf numFmtId="0" fontId="20" fillId="0" borderId="0" xfId="0" applyFont="1" applyAlignment="1">
      <alignment horizontal="left"/>
    </xf>
    <xf numFmtId="0" fontId="20" fillId="0" borderId="9" xfId="0" applyFont="1" applyBorder="1" applyAlignment="1">
      <alignment horizontal="left" wrapText="1"/>
    </xf>
    <xf numFmtId="0" fontId="20" fillId="0" borderId="50" xfId="0" applyFont="1" applyBorder="1" applyAlignment="1">
      <alignment horizontal="center" vertical="center"/>
    </xf>
    <xf numFmtId="0" fontId="20" fillId="0" borderId="45" xfId="0" applyFont="1" applyBorder="1" applyAlignment="1">
      <alignment horizontal="center" vertical="center"/>
    </xf>
    <xf numFmtId="0" fontId="20" fillId="0" borderId="82" xfId="0" applyFont="1" applyBorder="1" applyAlignment="1">
      <alignment horizontal="center" vertical="center"/>
    </xf>
    <xf numFmtId="0" fontId="20" fillId="0" borderId="72" xfId="0" applyFont="1" applyBorder="1" applyAlignment="1">
      <alignment horizontal="center" vertical="center"/>
    </xf>
    <xf numFmtId="0" fontId="20" fillId="0" borderId="19" xfId="0" applyFont="1" applyBorder="1" applyAlignment="1">
      <alignment horizontal="center" vertical="center"/>
    </xf>
    <xf numFmtId="0" fontId="20" fillId="0" borderId="12" xfId="0" applyFont="1" applyBorder="1" applyAlignment="1">
      <alignment horizontal="center" vertical="center"/>
    </xf>
    <xf numFmtId="0" fontId="20" fillId="0" borderId="13" xfId="0" applyFont="1" applyBorder="1" applyAlignment="1">
      <alignment horizontal="center" vertical="center"/>
    </xf>
    <xf numFmtId="0" fontId="20" fillId="0" borderId="29" xfId="0" applyFont="1" applyBorder="1" applyAlignment="1">
      <alignment horizontal="center" vertical="center"/>
    </xf>
    <xf numFmtId="0" fontId="20" fillId="0" borderId="21" xfId="0" applyFont="1" applyBorder="1" applyAlignment="1">
      <alignment horizontal="center" vertical="center"/>
    </xf>
    <xf numFmtId="0" fontId="28" fillId="2" borderId="29" xfId="0" applyFont="1" applyFill="1" applyBorder="1" applyAlignment="1">
      <alignment horizontal="center" vertical="center"/>
    </xf>
    <xf numFmtId="0" fontId="28" fillId="2" borderId="115" xfId="0" applyFont="1" applyFill="1" applyBorder="1" applyAlignment="1">
      <alignment horizontal="center" vertical="center"/>
    </xf>
    <xf numFmtId="9" fontId="20" fillId="4" borderId="18" xfId="73" applyFont="1" applyFill="1" applyBorder="1" applyAlignment="1" applyProtection="1">
      <alignment horizontal="center" vertical="center" shrinkToFit="1"/>
      <protection locked="0"/>
    </xf>
    <xf numFmtId="9" fontId="20" fillId="4" borderId="96" xfId="73" applyFont="1" applyFill="1" applyBorder="1" applyAlignment="1" applyProtection="1">
      <alignment horizontal="center" vertical="center" shrinkToFit="1"/>
      <protection locked="0"/>
    </xf>
    <xf numFmtId="9" fontId="20" fillId="4" borderId="73" xfId="73" applyFont="1" applyFill="1" applyBorder="1" applyAlignment="1" applyProtection="1">
      <alignment horizontal="center" vertical="center" shrinkToFit="1"/>
      <protection locked="0"/>
    </xf>
    <xf numFmtId="9" fontId="20" fillId="4" borderId="93" xfId="73" applyFont="1" applyFill="1" applyBorder="1" applyAlignment="1" applyProtection="1">
      <alignment horizontal="center" vertical="center" shrinkToFit="1"/>
      <protection locked="0"/>
    </xf>
    <xf numFmtId="0" fontId="20" fillId="0" borderId="18" xfId="0" applyFont="1" applyBorder="1" applyAlignment="1">
      <alignment horizontal="center" vertical="center"/>
    </xf>
    <xf numFmtId="0" fontId="20" fillId="0" borderId="8" xfId="0" applyFont="1" applyBorder="1" applyAlignment="1">
      <alignment horizontal="center" vertical="center"/>
    </xf>
    <xf numFmtId="0" fontId="71" fillId="0" borderId="9" xfId="0" applyFont="1" applyBorder="1" applyAlignment="1">
      <alignment horizontal="center" vertical="center"/>
    </xf>
    <xf numFmtId="0" fontId="71" fillId="0" borderId="0" xfId="0" applyFont="1" applyAlignment="1">
      <alignment horizontal="center" vertical="center"/>
    </xf>
    <xf numFmtId="0" fontId="71" fillId="0" borderId="10" xfId="0" applyFont="1" applyBorder="1" applyAlignment="1">
      <alignment horizontal="center" vertical="center"/>
    </xf>
    <xf numFmtId="0" fontId="28" fillId="2" borderId="21" xfId="0" applyFont="1" applyFill="1" applyBorder="1" applyAlignment="1">
      <alignment horizontal="center" vertical="center"/>
    </xf>
    <xf numFmtId="0" fontId="28" fillId="2" borderId="32" xfId="0" applyFont="1" applyFill="1" applyBorder="1" applyAlignment="1">
      <alignment horizontal="center" vertical="center"/>
    </xf>
    <xf numFmtId="0" fontId="41" fillId="0" borderId="29" xfId="0" applyFont="1" applyBorder="1" applyAlignment="1">
      <alignment horizontal="center" vertical="center"/>
    </xf>
    <xf numFmtId="0" fontId="41" fillId="0" borderId="21" xfId="0" applyFont="1" applyBorder="1" applyAlignment="1">
      <alignment horizontal="center" vertical="center"/>
    </xf>
    <xf numFmtId="0" fontId="41" fillId="0" borderId="32" xfId="0" applyFont="1" applyBorder="1" applyAlignment="1">
      <alignment horizontal="center" vertical="center"/>
    </xf>
    <xf numFmtId="0" fontId="20" fillId="0" borderId="23" xfId="0" applyFont="1" applyBorder="1" applyAlignment="1">
      <alignment horizontal="center" vertical="center"/>
    </xf>
    <xf numFmtId="0" fontId="20" fillId="0" borderId="11" xfId="0" applyFont="1" applyBorder="1" applyAlignment="1">
      <alignment horizontal="center" vertical="center"/>
    </xf>
    <xf numFmtId="0" fontId="59" fillId="0" borderId="9" xfId="0" applyFont="1" applyBorder="1" applyAlignment="1">
      <alignment horizontal="center" vertical="center"/>
    </xf>
    <xf numFmtId="0" fontId="59" fillId="0" borderId="0" xfId="0" applyFont="1" applyAlignment="1">
      <alignment horizontal="center" vertical="center"/>
    </xf>
    <xf numFmtId="0" fontId="59" fillId="0" borderId="10" xfId="0" applyFont="1" applyBorder="1" applyAlignment="1">
      <alignment horizontal="center" vertical="center"/>
    </xf>
    <xf numFmtId="0" fontId="19" fillId="0" borderId="29" xfId="0" applyFont="1" applyBorder="1" applyAlignment="1">
      <alignment horizontal="center" vertical="center" wrapText="1"/>
    </xf>
    <xf numFmtId="0" fontId="19" fillId="0" borderId="115" xfId="0" applyFont="1" applyBorder="1" applyAlignment="1">
      <alignment horizontal="center" vertical="center" wrapText="1"/>
    </xf>
    <xf numFmtId="9" fontId="20" fillId="4" borderId="42" xfId="73" applyFont="1" applyFill="1" applyBorder="1" applyAlignment="1" applyProtection="1">
      <alignment horizontal="center" vertical="center" shrinkToFit="1"/>
      <protection locked="0"/>
    </xf>
    <xf numFmtId="9" fontId="20" fillId="4" borderId="95" xfId="73" applyFont="1" applyFill="1" applyBorder="1" applyAlignment="1" applyProtection="1">
      <alignment horizontal="center" vertical="center" shrinkToFit="1"/>
      <protection locked="0"/>
    </xf>
    <xf numFmtId="37" fontId="83" fillId="0" borderId="0" xfId="0" applyNumberFormat="1" applyFont="1" applyAlignment="1">
      <alignment wrapText="1"/>
    </xf>
    <xf numFmtId="0" fontId="18" fillId="0" borderId="0" xfId="0" applyFont="1"/>
    <xf numFmtId="0" fontId="10" fillId="0" borderId="0" xfId="0" applyFont="1" applyAlignment="1">
      <alignment horizontal="left" vertical="center"/>
    </xf>
    <xf numFmtId="37" fontId="83" fillId="0" borderId="0" xfId="0" applyNumberFormat="1" applyFont="1" applyAlignment="1">
      <alignment horizontal="left"/>
    </xf>
    <xf numFmtId="37" fontId="18" fillId="0" borderId="0" xfId="0" applyNumberFormat="1" applyFont="1" applyAlignment="1">
      <alignment horizontal="left"/>
    </xf>
    <xf numFmtId="0" fontId="18" fillId="0" borderId="0" xfId="0" applyFont="1" applyAlignment="1">
      <alignment horizontal="left" shrinkToFit="1"/>
    </xf>
    <xf numFmtId="9" fontId="18" fillId="0" borderId="0" xfId="0" applyNumberFormat="1" applyFont="1" applyAlignment="1">
      <alignment horizontal="left"/>
    </xf>
    <xf numFmtId="0" fontId="98" fillId="16" borderId="109" xfId="0" applyFont="1" applyFill="1" applyBorder="1" applyAlignment="1">
      <alignment horizontal="center" vertical="center" wrapText="1"/>
    </xf>
    <xf numFmtId="0" fontId="98" fillId="16" borderId="46" xfId="0" applyFont="1" applyFill="1" applyBorder="1" applyAlignment="1">
      <alignment horizontal="center" vertical="center" wrapText="1"/>
    </xf>
    <xf numFmtId="0" fontId="20" fillId="12" borderId="0" xfId="0" applyFont="1" applyFill="1" applyAlignment="1" applyProtection="1">
      <alignment horizontal="left" vertical="center" shrinkToFit="1"/>
      <protection locked="0"/>
    </xf>
    <xf numFmtId="0" fontId="2" fillId="0" borderId="0" xfId="78" applyAlignment="1">
      <alignment horizontal="left" vertical="center"/>
    </xf>
    <xf numFmtId="6" fontId="42" fillId="0" borderId="0" xfId="78" applyNumberFormat="1" applyFont="1" applyAlignment="1">
      <alignment horizontal="center" vertical="center"/>
    </xf>
    <xf numFmtId="6" fontId="42" fillId="0" borderId="10" xfId="78" applyNumberFormat="1" applyFont="1" applyBorder="1" applyAlignment="1">
      <alignment horizontal="center" vertical="center"/>
    </xf>
    <xf numFmtId="6" fontId="19" fillId="0" borderId="0" xfId="78" applyNumberFormat="1" applyFont="1" applyAlignment="1">
      <alignment horizontal="center" vertical="center"/>
    </xf>
    <xf numFmtId="6" fontId="42" fillId="0" borderId="6" xfId="78" applyNumberFormat="1" applyFont="1" applyBorder="1" applyAlignment="1">
      <alignment horizontal="center" vertical="center"/>
    </xf>
    <xf numFmtId="6" fontId="42" fillId="0" borderId="37" xfId="78" applyNumberFormat="1" applyFont="1" applyBorder="1" applyAlignment="1">
      <alignment horizontal="center" vertical="center"/>
    </xf>
    <xf numFmtId="0" fontId="5" fillId="0" borderId="0" xfId="0" applyFont="1" applyAlignment="1">
      <alignment horizontal="left" vertical="center"/>
    </xf>
    <xf numFmtId="0" fontId="5" fillId="0" borderId="10" xfId="0" applyFont="1" applyBorder="1" applyAlignment="1">
      <alignment horizontal="left" vertical="center"/>
    </xf>
    <xf numFmtId="0" fontId="46" fillId="0" borderId="0" xfId="78" applyFont="1" applyAlignment="1">
      <alignment horizontal="left" vertical="center"/>
    </xf>
    <xf numFmtId="173" fontId="2" fillId="0" borderId="0" xfId="78" applyNumberFormat="1" applyAlignment="1">
      <alignment horizontal="left" vertical="center"/>
    </xf>
    <xf numFmtId="0" fontId="98" fillId="0" borderId="40" xfId="0" applyFont="1" applyBorder="1" applyAlignment="1">
      <alignment horizontal="center" vertical="center" wrapText="1"/>
    </xf>
    <xf numFmtId="0" fontId="98" fillId="0" borderId="66" xfId="0" applyFont="1" applyBorder="1" applyAlignment="1">
      <alignment horizontal="center" vertical="center" wrapText="1"/>
    </xf>
    <xf numFmtId="6" fontId="19" fillId="0" borderId="0" xfId="78" applyNumberFormat="1" applyFont="1" applyAlignment="1" applyProtection="1">
      <alignment horizontal="center" vertical="center"/>
      <protection locked="0"/>
    </xf>
    <xf numFmtId="6" fontId="19" fillId="0" borderId="10" xfId="78" applyNumberFormat="1" applyFont="1" applyBorder="1" applyAlignment="1" applyProtection="1">
      <alignment horizontal="center" vertical="center"/>
      <protection locked="0"/>
    </xf>
    <xf numFmtId="9" fontId="18" fillId="0" borderId="0" xfId="0" applyNumberFormat="1" applyFont="1" applyAlignment="1">
      <alignment horizontal="left" vertical="center"/>
    </xf>
    <xf numFmtId="0" fontId="2" fillId="20" borderId="0" xfId="78" applyFill="1" applyAlignment="1">
      <alignment horizontal="left" vertical="center"/>
    </xf>
    <xf numFmtId="0" fontId="2" fillId="21" borderId="0" xfId="78" applyFill="1" applyAlignment="1">
      <alignment horizontal="left" vertical="center" wrapText="1"/>
    </xf>
    <xf numFmtId="0" fontId="2" fillId="21" borderId="4" xfId="78" applyFill="1" applyBorder="1" applyAlignment="1">
      <alignment horizontal="left" vertical="center" wrapText="1"/>
    </xf>
    <xf numFmtId="37" fontId="46" fillId="0" borderId="0" xfId="0" applyNumberFormat="1" applyFont="1" applyAlignment="1">
      <alignment horizontal="left" vertical="center" wrapText="1"/>
    </xf>
    <xf numFmtId="0" fontId="3" fillId="0" borderId="0" xfId="0" applyFont="1" applyAlignment="1">
      <alignment horizontal="left" vertical="center"/>
    </xf>
    <xf numFmtId="0" fontId="52" fillId="0" borderId="0" xfId="0" applyFont="1" applyAlignment="1">
      <alignment horizontal="right" vertical="center" indent="1"/>
    </xf>
    <xf numFmtId="0" fontId="52" fillId="0" borderId="4" xfId="0" applyFont="1" applyBorder="1" applyAlignment="1">
      <alignment horizontal="right" vertical="center" indent="1"/>
    </xf>
    <xf numFmtId="0" fontId="3" fillId="16" borderId="0" xfId="0" applyFont="1" applyFill="1" applyAlignment="1">
      <alignment horizontal="left" vertical="center" wrapText="1"/>
    </xf>
    <xf numFmtId="0" fontId="2" fillId="16" borderId="0" xfId="78" applyFill="1" applyAlignment="1">
      <alignment horizontal="left" vertical="center" wrapText="1"/>
    </xf>
    <xf numFmtId="37" fontId="2" fillId="16" borderId="0" xfId="78" applyNumberFormat="1" applyFill="1" applyAlignment="1">
      <alignment horizontal="left"/>
    </xf>
    <xf numFmtId="37" fontId="2" fillId="16" borderId="4" xfId="78" applyNumberFormat="1" applyFill="1" applyBorder="1" applyAlignment="1">
      <alignment horizontal="left"/>
    </xf>
    <xf numFmtId="0" fontId="2" fillId="0" borderId="0" xfId="79" applyAlignment="1">
      <alignment horizontal="left" vertical="center" wrapText="1"/>
    </xf>
    <xf numFmtId="37" fontId="42" fillId="0" borderId="0" xfId="0" applyNumberFormat="1" applyFont="1" applyAlignment="1">
      <alignment horizontal="right" vertical="center"/>
    </xf>
    <xf numFmtId="37" fontId="42" fillId="0" borderId="4" xfId="0" applyNumberFormat="1" applyFont="1" applyBorder="1" applyAlignment="1">
      <alignment horizontal="right" vertical="center"/>
    </xf>
    <xf numFmtId="37" fontId="19" fillId="0" borderId="0" xfId="0" applyNumberFormat="1" applyFont="1" applyAlignment="1">
      <alignment horizontal="right"/>
    </xf>
    <xf numFmtId="37" fontId="19" fillId="0" borderId="4" xfId="0" applyNumberFormat="1" applyFont="1" applyBorder="1" applyAlignment="1">
      <alignment horizontal="right"/>
    </xf>
    <xf numFmtId="0" fontId="19" fillId="0" borderId="0" xfId="0" applyFont="1" applyAlignment="1">
      <alignment horizontal="right"/>
    </xf>
    <xf numFmtId="0" fontId="19" fillId="0" borderId="4" xfId="0" applyFont="1" applyBorder="1" applyAlignment="1">
      <alignment horizontal="right"/>
    </xf>
    <xf numFmtId="0" fontId="3" fillId="0" borderId="0" xfId="0" applyFont="1" applyAlignment="1">
      <alignment horizontal="left" vertical="center" wrapText="1"/>
    </xf>
    <xf numFmtId="37" fontId="42" fillId="0" borderId="0" xfId="0" applyNumberFormat="1" applyFont="1" applyAlignment="1">
      <alignment horizontal="right" vertical="center" indent="1"/>
    </xf>
    <xf numFmtId="37" fontId="42" fillId="0" borderId="4" xfId="0" applyNumberFormat="1" applyFont="1" applyBorder="1" applyAlignment="1">
      <alignment horizontal="right" vertical="center" indent="1"/>
    </xf>
    <xf numFmtId="0" fontId="2" fillId="0" borderId="0" xfId="0" applyFont="1" applyAlignment="1">
      <alignment horizontal="left" vertical="center"/>
    </xf>
    <xf numFmtId="173" fontId="2" fillId="19" borderId="0" xfId="78" applyNumberFormat="1" applyFill="1" applyAlignment="1">
      <alignment horizontal="left" vertical="center"/>
    </xf>
    <xf numFmtId="37" fontId="82" fillId="0" borderId="0" xfId="0" applyNumberFormat="1" applyFont="1" applyAlignment="1">
      <alignment horizontal="right" vertical="center" indent="1"/>
    </xf>
    <xf numFmtId="37" fontId="82" fillId="0" borderId="4" xfId="0" applyNumberFormat="1" applyFont="1" applyBorder="1" applyAlignment="1">
      <alignment horizontal="right" vertical="center" indent="1"/>
    </xf>
    <xf numFmtId="37" fontId="46" fillId="0" borderId="0" xfId="0" applyNumberFormat="1" applyFont="1" applyAlignment="1">
      <alignment horizontal="left" vertical="center"/>
    </xf>
    <xf numFmtId="173" fontId="2" fillId="0" borderId="6" xfId="78" applyNumberFormat="1" applyBorder="1" applyAlignment="1">
      <alignment horizontal="left" vertical="center"/>
    </xf>
    <xf numFmtId="37" fontId="3" fillId="0" borderId="0" xfId="0" applyNumberFormat="1" applyFont="1" applyAlignment="1">
      <alignment horizontal="left" vertical="center"/>
    </xf>
    <xf numFmtId="37" fontId="12" fillId="0" borderId="0" xfId="0" applyNumberFormat="1" applyFont="1" applyAlignment="1">
      <alignment horizontal="right" vertical="center" indent="1"/>
    </xf>
    <xf numFmtId="37" fontId="12" fillId="0" borderId="4" xfId="0" applyNumberFormat="1" applyFont="1" applyBorder="1" applyAlignment="1">
      <alignment horizontal="right" vertical="center" indent="1"/>
    </xf>
    <xf numFmtId="0" fontId="98" fillId="13" borderId="109" xfId="0" applyFont="1" applyFill="1" applyBorder="1" applyAlignment="1">
      <alignment horizontal="center" vertical="center" wrapText="1"/>
    </xf>
    <xf numFmtId="0" fontId="98" fillId="13" borderId="46" xfId="0" applyFont="1" applyFill="1" applyBorder="1" applyAlignment="1">
      <alignment horizontal="center" vertical="center" wrapText="1"/>
    </xf>
    <xf numFmtId="0" fontId="98" fillId="13" borderId="111" xfId="0" applyFont="1" applyFill="1" applyBorder="1" applyAlignment="1">
      <alignment horizontal="center" vertical="center" wrapText="1"/>
    </xf>
    <xf numFmtId="0" fontId="98" fillId="13" borderId="51" xfId="0" applyFont="1" applyFill="1" applyBorder="1" applyAlignment="1">
      <alignment horizontal="center" vertical="center" wrapText="1"/>
    </xf>
    <xf numFmtId="0" fontId="98" fillId="11" borderId="111" xfId="0" applyFont="1" applyFill="1" applyBorder="1" applyAlignment="1">
      <alignment horizontal="center" vertical="center" wrapText="1"/>
    </xf>
    <xf numFmtId="0" fontId="98" fillId="11" borderId="51" xfId="0" applyFont="1" applyFill="1" applyBorder="1" applyAlignment="1">
      <alignment horizontal="center" vertical="center" wrapText="1"/>
    </xf>
    <xf numFmtId="0" fontId="98" fillId="8" borderId="111" xfId="0" applyFont="1" applyFill="1" applyBorder="1" applyAlignment="1">
      <alignment horizontal="center" vertical="center" wrapText="1"/>
    </xf>
    <xf numFmtId="0" fontId="98" fillId="8" borderId="51" xfId="0" applyFont="1" applyFill="1" applyBorder="1" applyAlignment="1">
      <alignment horizontal="center" vertical="center" wrapText="1"/>
    </xf>
    <xf numFmtId="0" fontId="98" fillId="8" borderId="109" xfId="0" applyFont="1" applyFill="1" applyBorder="1" applyAlignment="1">
      <alignment horizontal="center" vertical="center" wrapText="1"/>
    </xf>
    <xf numFmtId="0" fontId="98" fillId="8" borderId="46" xfId="0" applyFont="1" applyFill="1" applyBorder="1" applyAlignment="1">
      <alignment horizontal="center" vertical="center" wrapText="1"/>
    </xf>
    <xf numFmtId="0" fontId="98" fillId="15" borderId="36" xfId="0" applyFont="1" applyFill="1" applyBorder="1" applyAlignment="1">
      <alignment horizontal="center" vertical="center" wrapText="1"/>
    </xf>
    <xf numFmtId="0" fontId="98" fillId="15" borderId="49" xfId="0" applyFont="1" applyFill="1" applyBorder="1" applyAlignment="1">
      <alignment horizontal="center" vertical="center" wrapText="1"/>
    </xf>
    <xf numFmtId="0" fontId="98" fillId="11" borderId="109" xfId="0" applyFont="1" applyFill="1" applyBorder="1" applyAlignment="1">
      <alignment horizontal="center" vertical="center" wrapText="1"/>
    </xf>
    <xf numFmtId="0" fontId="98" fillId="11" borderId="46" xfId="0" applyFont="1" applyFill="1" applyBorder="1" applyAlignment="1">
      <alignment horizontal="center" vertical="center" wrapText="1"/>
    </xf>
    <xf numFmtId="0" fontId="98" fillId="16" borderId="36" xfId="0" applyFont="1" applyFill="1" applyBorder="1" applyAlignment="1">
      <alignment horizontal="center" vertical="center" wrapText="1"/>
    </xf>
    <xf numFmtId="0" fontId="98" fillId="16" borderId="49" xfId="0" applyFont="1" applyFill="1" applyBorder="1" applyAlignment="1">
      <alignment horizontal="center" vertical="center" wrapText="1"/>
    </xf>
    <xf numFmtId="0" fontId="98" fillId="14" borderId="111" xfId="0" applyFont="1" applyFill="1" applyBorder="1" applyAlignment="1">
      <alignment horizontal="center" vertical="center" wrapText="1"/>
    </xf>
    <xf numFmtId="0" fontId="98" fillId="14" borderId="51" xfId="0" applyFont="1" applyFill="1" applyBorder="1" applyAlignment="1">
      <alignment horizontal="center" vertical="center" wrapText="1"/>
    </xf>
    <xf numFmtId="0" fontId="98" fillId="14" borderId="109" xfId="0" applyFont="1" applyFill="1" applyBorder="1" applyAlignment="1">
      <alignment horizontal="center" vertical="center" wrapText="1"/>
    </xf>
    <xf numFmtId="0" fontId="98" fillId="14" borderId="46" xfId="0" applyFont="1" applyFill="1" applyBorder="1" applyAlignment="1">
      <alignment horizontal="center" vertical="center" wrapText="1"/>
    </xf>
    <xf numFmtId="0" fontId="98" fillId="14" borderId="36" xfId="0" applyFont="1" applyFill="1" applyBorder="1" applyAlignment="1">
      <alignment horizontal="center" vertical="center" wrapText="1"/>
    </xf>
    <xf numFmtId="0" fontId="98" fillId="14" borderId="49" xfId="0" applyFont="1" applyFill="1" applyBorder="1" applyAlignment="1">
      <alignment horizontal="center" vertical="center" wrapText="1"/>
    </xf>
    <xf numFmtId="0" fontId="98" fillId="11" borderId="36" xfId="0" applyFont="1" applyFill="1" applyBorder="1" applyAlignment="1">
      <alignment horizontal="center" vertical="center" wrapText="1"/>
    </xf>
    <xf numFmtId="0" fontId="98" fillId="11" borderId="49" xfId="0" applyFont="1" applyFill="1" applyBorder="1" applyAlignment="1">
      <alignment horizontal="center" vertical="center" wrapText="1"/>
    </xf>
    <xf numFmtId="0" fontId="98" fillId="16" borderId="111" xfId="0" applyFont="1" applyFill="1" applyBorder="1" applyAlignment="1">
      <alignment horizontal="center" vertical="center" wrapText="1"/>
    </xf>
    <xf numFmtId="0" fontId="98" fillId="16" borderId="51" xfId="0" applyFont="1" applyFill="1" applyBorder="1" applyAlignment="1">
      <alignment horizontal="center" vertical="center" wrapText="1"/>
    </xf>
    <xf numFmtId="0" fontId="18" fillId="12" borderId="16" xfId="78" applyFont="1" applyFill="1" applyBorder="1" applyAlignment="1" applyProtection="1">
      <alignment horizontal="left" vertical="top" wrapText="1"/>
      <protection locked="0"/>
    </xf>
    <xf numFmtId="0" fontId="18" fillId="12" borderId="6" xfId="78" applyFont="1" applyFill="1" applyBorder="1" applyAlignment="1" applyProtection="1">
      <alignment horizontal="left" vertical="top" wrapText="1"/>
      <protection locked="0"/>
    </xf>
    <xf numFmtId="0" fontId="18" fillId="12" borderId="5" xfId="78" applyFont="1" applyFill="1" applyBorder="1" applyAlignment="1" applyProtection="1">
      <alignment horizontal="left" vertical="top" wrapText="1"/>
      <protection locked="0"/>
    </xf>
    <xf numFmtId="0" fontId="2" fillId="16" borderId="4" xfId="78" applyFill="1" applyBorder="1" applyAlignment="1">
      <alignment horizontal="left" vertical="center" wrapText="1"/>
    </xf>
    <xf numFmtId="0" fontId="23" fillId="13" borderId="61" xfId="78" applyFont="1" applyFill="1" applyBorder="1" applyAlignment="1">
      <alignment horizontal="left" vertical="center"/>
    </xf>
    <xf numFmtId="0" fontId="2" fillId="13" borderId="1" xfId="78" applyFill="1" applyBorder="1" applyAlignment="1">
      <alignment horizontal="left" vertical="center"/>
    </xf>
    <xf numFmtId="0" fontId="2" fillId="13" borderId="2" xfId="78" applyFill="1" applyBorder="1" applyAlignment="1">
      <alignment horizontal="left" vertical="center"/>
    </xf>
    <xf numFmtId="37" fontId="2" fillId="13" borderId="15" xfId="78" applyNumberFormat="1" applyFill="1" applyBorder="1" applyAlignment="1">
      <alignment horizontal="left"/>
    </xf>
    <xf numFmtId="37" fontId="2" fillId="13" borderId="0" xfId="78" applyNumberFormat="1" applyFill="1" applyAlignment="1">
      <alignment horizontal="left"/>
    </xf>
    <xf numFmtId="37" fontId="2" fillId="13" borderId="4" xfId="78" applyNumberFormat="1" applyFill="1" applyBorder="1" applyAlignment="1">
      <alignment horizontal="left"/>
    </xf>
    <xf numFmtId="37" fontId="2" fillId="14" borderId="16" xfId="78" applyNumberFormat="1" applyFill="1" applyBorder="1" applyAlignment="1">
      <alignment horizontal="left"/>
    </xf>
    <xf numFmtId="37" fontId="2" fillId="14" borderId="6" xfId="78" applyNumberFormat="1" applyFill="1" applyBorder="1" applyAlignment="1">
      <alignment horizontal="left"/>
    </xf>
    <xf numFmtId="37" fontId="2" fillId="14" borderId="5" xfId="78" applyNumberFormat="1" applyFill="1" applyBorder="1" applyAlignment="1">
      <alignment horizontal="left"/>
    </xf>
    <xf numFmtId="0" fontId="3" fillId="19" borderId="0" xfId="0" applyFont="1" applyFill="1" applyAlignment="1">
      <alignment horizontal="left" vertical="center" wrapText="1"/>
    </xf>
    <xf numFmtId="0" fontId="3" fillId="19" borderId="4" xfId="0" applyFont="1" applyFill="1" applyBorder="1" applyAlignment="1">
      <alignment horizontal="left" vertical="center" wrapText="1"/>
    </xf>
    <xf numFmtId="0" fontId="2" fillId="13" borderId="15" xfId="78" applyFill="1" applyBorder="1" applyAlignment="1">
      <alignment horizontal="left" vertical="center" wrapText="1"/>
    </xf>
    <xf numFmtId="0" fontId="2" fillId="13" borderId="0" xfId="78" applyFill="1" applyAlignment="1">
      <alignment horizontal="left" vertical="center" wrapText="1"/>
    </xf>
    <xf numFmtId="0" fontId="2" fillId="13" borderId="4" xfId="78" applyFill="1" applyBorder="1" applyAlignment="1">
      <alignment horizontal="left" vertical="center" wrapText="1"/>
    </xf>
    <xf numFmtId="0" fontId="2" fillId="14" borderId="15" xfId="78" applyFill="1" applyBorder="1" applyAlignment="1">
      <alignment horizontal="left" vertical="center" wrapText="1"/>
    </xf>
    <xf numFmtId="0" fontId="2" fillId="14" borderId="0" xfId="78" applyFill="1" applyAlignment="1">
      <alignment horizontal="left" vertical="center" wrapText="1"/>
    </xf>
    <xf numFmtId="0" fontId="2" fillId="14" borderId="4" xfId="78" applyFill="1" applyBorder="1" applyAlignment="1">
      <alignment horizontal="left" vertical="center" wrapText="1"/>
    </xf>
    <xf numFmtId="0" fontId="2" fillId="14" borderId="15" xfId="78" applyFill="1" applyBorder="1" applyAlignment="1">
      <alignment horizontal="left" vertical="center"/>
    </xf>
    <xf numFmtId="0" fontId="2" fillId="14" borderId="0" xfId="78" applyFill="1" applyAlignment="1">
      <alignment horizontal="left" vertical="center"/>
    </xf>
    <xf numFmtId="0" fontId="2" fillId="14" borderId="4" xfId="78" applyFill="1" applyBorder="1" applyAlignment="1">
      <alignment horizontal="left" vertical="center"/>
    </xf>
    <xf numFmtId="0" fontId="2" fillId="13" borderId="15" xfId="78" applyFill="1" applyBorder="1" applyAlignment="1">
      <alignment horizontal="left" vertical="center"/>
    </xf>
    <xf numFmtId="0" fontId="2" fillId="13" borderId="0" xfId="78" applyFill="1" applyAlignment="1">
      <alignment horizontal="left" vertical="center"/>
    </xf>
    <xf numFmtId="0" fontId="2" fillId="13" borderId="4" xfId="78" applyFill="1" applyBorder="1" applyAlignment="1">
      <alignment horizontal="left" vertical="center"/>
    </xf>
    <xf numFmtId="0" fontId="23" fillId="14" borderId="61" xfId="78" applyFont="1" applyFill="1" applyBorder="1" applyAlignment="1">
      <alignment horizontal="left" vertical="center"/>
    </xf>
    <xf numFmtId="0" fontId="2" fillId="14" borderId="1" xfId="78" applyFill="1" applyBorder="1" applyAlignment="1">
      <alignment horizontal="left" vertical="center"/>
    </xf>
    <xf numFmtId="0" fontId="2" fillId="14" borderId="2" xfId="78" applyFill="1" applyBorder="1" applyAlignment="1">
      <alignment horizontal="left" vertical="center"/>
    </xf>
    <xf numFmtId="37" fontId="2" fillId="19" borderId="0" xfId="0" applyNumberFormat="1" applyFont="1" applyFill="1" applyAlignment="1">
      <alignment horizontal="left"/>
    </xf>
    <xf numFmtId="37" fontId="3" fillId="19" borderId="0" xfId="0" applyNumberFormat="1" applyFont="1" applyFill="1" applyAlignment="1">
      <alignment horizontal="left"/>
    </xf>
    <xf numFmtId="37" fontId="3" fillId="19" borderId="4" xfId="0" applyNumberFormat="1" applyFont="1" applyFill="1" applyBorder="1" applyAlignment="1">
      <alignment horizontal="left"/>
    </xf>
    <xf numFmtId="0" fontId="98" fillId="13" borderId="36" xfId="0" applyFont="1" applyFill="1" applyBorder="1" applyAlignment="1">
      <alignment horizontal="center" vertical="center" wrapText="1"/>
    </xf>
    <xf numFmtId="0" fontId="98" fillId="13" borderId="49" xfId="0" applyFont="1" applyFill="1" applyBorder="1" applyAlignment="1">
      <alignment horizontal="center" vertical="center" wrapText="1"/>
    </xf>
    <xf numFmtId="0" fontId="2" fillId="13" borderId="117" xfId="78" applyFill="1" applyBorder="1" applyAlignment="1">
      <alignment horizontal="left" vertical="center"/>
    </xf>
    <xf numFmtId="0" fontId="2" fillId="14" borderId="117" xfId="78" applyFill="1" applyBorder="1" applyAlignment="1">
      <alignment horizontal="left" vertical="center"/>
    </xf>
    <xf numFmtId="37" fontId="42" fillId="0" borderId="117" xfId="0" applyNumberFormat="1" applyFont="1" applyBorder="1" applyAlignment="1">
      <alignment horizontal="right" vertical="center"/>
    </xf>
    <xf numFmtId="0" fontId="2" fillId="0" borderId="117" xfId="0" applyFont="1" applyBorder="1" applyAlignment="1">
      <alignment horizontal="left" vertical="center"/>
    </xf>
    <xf numFmtId="0" fontId="3" fillId="0" borderId="117" xfId="0" applyFont="1" applyBorder="1" applyAlignment="1">
      <alignment horizontal="left" vertical="center"/>
    </xf>
    <xf numFmtId="37" fontId="42" fillId="0" borderId="117" xfId="0" applyNumberFormat="1" applyFont="1" applyBorder="1" applyAlignment="1">
      <alignment horizontal="right" vertical="center" indent="1"/>
    </xf>
    <xf numFmtId="0" fontId="3" fillId="0" borderId="117" xfId="0" applyFont="1" applyBorder="1" applyAlignment="1">
      <alignment horizontal="left" vertical="center" wrapText="1"/>
    </xf>
    <xf numFmtId="0" fontId="19" fillId="0" borderId="117" xfId="0" applyFont="1" applyBorder="1" applyAlignment="1">
      <alignment horizontal="right"/>
    </xf>
    <xf numFmtId="9" fontId="18" fillId="0" borderId="117" xfId="0" applyNumberFormat="1" applyFont="1" applyBorder="1" applyAlignment="1">
      <alignment horizontal="left" vertical="center"/>
    </xf>
    <xf numFmtId="0" fontId="20" fillId="12" borderId="117" xfId="0" applyFont="1" applyFill="1" applyBorder="1" applyAlignment="1" applyProtection="1">
      <alignment horizontal="left" vertical="center" shrinkToFit="1"/>
      <protection locked="0"/>
    </xf>
    <xf numFmtId="37" fontId="82" fillId="0" borderId="117" xfId="0" applyNumberFormat="1" applyFont="1" applyBorder="1" applyAlignment="1">
      <alignment horizontal="right" vertical="center" indent="1"/>
    </xf>
    <xf numFmtId="37" fontId="46" fillId="0" borderId="117" xfId="0" applyNumberFormat="1" applyFont="1" applyBorder="1" applyAlignment="1">
      <alignment horizontal="left" vertical="center"/>
    </xf>
    <xf numFmtId="37" fontId="3" fillId="0" borderId="117" xfId="0" applyNumberFormat="1" applyFont="1" applyBorder="1" applyAlignment="1">
      <alignment horizontal="left" vertical="center"/>
    </xf>
    <xf numFmtId="37" fontId="12" fillId="0" borderId="117" xfId="0" applyNumberFormat="1" applyFont="1" applyBorder="1" applyAlignment="1">
      <alignment horizontal="right" vertical="center" indent="1"/>
    </xf>
    <xf numFmtId="0" fontId="52" fillId="0" borderId="117" xfId="0" applyFont="1" applyBorder="1" applyAlignment="1">
      <alignment horizontal="right" vertical="center" indent="1"/>
    </xf>
    <xf numFmtId="173" fontId="9" fillId="19" borderId="31" xfId="78" applyNumberFormat="1" applyFont="1" applyFill="1" applyBorder="1" applyAlignment="1">
      <alignment horizontal="left" vertical="center"/>
    </xf>
    <xf numFmtId="173" fontId="9" fillId="19" borderId="2" xfId="78" applyNumberFormat="1" applyFont="1" applyFill="1" applyBorder="1" applyAlignment="1">
      <alignment horizontal="left" vertical="center"/>
    </xf>
    <xf numFmtId="0" fontId="41" fillId="0" borderId="29" xfId="78" applyFont="1" applyBorder="1" applyAlignment="1">
      <alignment horizontal="left" vertical="center"/>
    </xf>
    <xf numFmtId="0" fontId="41" fillId="0" borderId="58" xfId="78" applyFont="1" applyBorder="1" applyAlignment="1">
      <alignment horizontal="left" vertical="center"/>
    </xf>
    <xf numFmtId="173" fontId="9" fillId="0" borderId="38" xfId="78" applyNumberFormat="1" applyFont="1" applyBorder="1" applyAlignment="1">
      <alignment horizontal="left" vertical="center"/>
    </xf>
    <xf numFmtId="173" fontId="9" fillId="0" borderId="5" xfId="78" applyNumberFormat="1" applyFont="1" applyBorder="1" applyAlignment="1">
      <alignment horizontal="left" vertical="center"/>
    </xf>
    <xf numFmtId="0" fontId="117" fillId="0" borderId="30" xfId="0" applyFont="1" applyBorder="1" applyAlignment="1">
      <alignment horizontal="center" vertical="center" wrapText="1"/>
    </xf>
    <xf numFmtId="0" fontId="117" fillId="0" borderId="37" xfId="0" applyFont="1" applyBorder="1" applyAlignment="1">
      <alignment horizontal="center" vertical="center" wrapText="1"/>
    </xf>
    <xf numFmtId="0" fontId="105" fillId="0" borderId="29" xfId="0" applyFont="1" applyBorder="1" applyAlignment="1">
      <alignment horizontal="center" vertical="center"/>
    </xf>
    <xf numFmtId="0" fontId="105" fillId="0" borderId="21" xfId="0" applyFont="1" applyBorder="1" applyAlignment="1">
      <alignment horizontal="center" vertical="center"/>
    </xf>
    <xf numFmtId="0" fontId="105" fillId="0" borderId="32" xfId="0" applyFont="1" applyBorder="1" applyAlignment="1">
      <alignment horizontal="center" vertical="center"/>
    </xf>
    <xf numFmtId="49" fontId="9" fillId="12" borderId="46" xfId="78" applyNumberFormat="1" applyFont="1" applyFill="1" applyBorder="1" applyAlignment="1" applyProtection="1">
      <alignment horizontal="center" vertical="center"/>
      <protection locked="0"/>
    </xf>
    <xf numFmtId="0" fontId="9" fillId="0" borderId="75" xfId="78" applyFont="1" applyBorder="1" applyAlignment="1">
      <alignment horizontal="right" vertical="center"/>
    </xf>
    <xf numFmtId="0" fontId="9" fillId="0" borderId="44" xfId="78" applyFont="1" applyBorder="1" applyAlignment="1">
      <alignment horizontal="right" vertical="center"/>
    </xf>
    <xf numFmtId="173" fontId="9" fillId="0" borderId="73" xfId="78" applyNumberFormat="1" applyFont="1" applyBorder="1" applyAlignment="1">
      <alignment horizontal="left" vertical="center"/>
    </xf>
    <xf numFmtId="173" fontId="9" fillId="0" borderId="74" xfId="78" applyNumberFormat="1" applyFont="1" applyBorder="1" applyAlignment="1">
      <alignment horizontal="left" vertical="center"/>
    </xf>
    <xf numFmtId="0" fontId="9" fillId="0" borderId="73" xfId="78" applyFont="1" applyBorder="1" applyAlignment="1">
      <alignment horizontal="left" vertical="center"/>
    </xf>
    <xf numFmtId="0" fontId="9" fillId="0" borderId="74" xfId="78" applyFont="1" applyBorder="1" applyAlignment="1">
      <alignment horizontal="left" vertical="center"/>
    </xf>
    <xf numFmtId="0" fontId="9" fillId="0" borderId="42" xfId="78" applyFont="1" applyBorder="1" applyAlignment="1">
      <alignment horizontal="right" vertical="center"/>
    </xf>
    <xf numFmtId="0" fontId="9" fillId="0" borderId="43" xfId="78" applyFont="1" applyBorder="1" applyAlignment="1">
      <alignment horizontal="right" vertical="center"/>
    </xf>
    <xf numFmtId="0" fontId="9" fillId="0" borderId="42" xfId="78" applyFont="1" applyBorder="1" applyAlignment="1">
      <alignment horizontal="left" vertical="center"/>
    </xf>
    <xf numFmtId="0" fontId="9" fillId="0" borderId="44" xfId="78" applyFont="1" applyBorder="1" applyAlignment="1">
      <alignment horizontal="left" vertical="center"/>
    </xf>
    <xf numFmtId="0" fontId="9" fillId="0" borderId="18" xfId="78" applyFont="1" applyBorder="1" applyAlignment="1">
      <alignment horizontal="left" vertical="center"/>
    </xf>
    <xf numFmtId="0" fontId="9" fillId="0" borderId="8" xfId="78" applyFont="1" applyBorder="1" applyAlignment="1">
      <alignment horizontal="left" vertical="center"/>
    </xf>
    <xf numFmtId="173" fontId="9" fillId="0" borderId="42" xfId="78" applyNumberFormat="1" applyFont="1" applyBorder="1" applyAlignment="1">
      <alignment horizontal="left" vertical="center"/>
    </xf>
    <xf numFmtId="173" fontId="9" fillId="0" borderId="44" xfId="78" applyNumberFormat="1" applyFont="1" applyBorder="1" applyAlignment="1">
      <alignment horizontal="left" vertical="center"/>
    </xf>
    <xf numFmtId="0" fontId="61" fillId="0" borderId="0" xfId="0" applyFont="1" applyAlignment="1">
      <alignment horizontal="center" wrapText="1"/>
    </xf>
    <xf numFmtId="0" fontId="10" fillId="0" borderId="0" xfId="0" applyFont="1" applyAlignment="1" applyProtection="1">
      <alignment horizontal="right" vertical="center"/>
      <protection hidden="1"/>
    </xf>
    <xf numFmtId="0" fontId="10" fillId="0" borderId="82" xfId="0" applyFont="1" applyBorder="1" applyAlignment="1">
      <alignment horizontal="center"/>
    </xf>
    <xf numFmtId="0" fontId="10" fillId="0" borderId="72" xfId="0" applyFont="1" applyBorder="1" applyAlignment="1">
      <alignment horizontal="center"/>
    </xf>
    <xf numFmtId="0" fontId="10" fillId="0" borderId="79" xfId="0" applyFont="1" applyBorder="1" applyAlignment="1">
      <alignment horizontal="center"/>
    </xf>
    <xf numFmtId="0" fontId="10" fillId="0" borderId="0" xfId="0" applyFont="1" applyFill="1" applyAlignment="1">
      <alignment horizontal="center"/>
    </xf>
    <xf numFmtId="0" fontId="45" fillId="0" borderId="0" xfId="0" applyFont="1" applyFill="1" applyAlignment="1">
      <alignment horizontal="center"/>
    </xf>
    <xf numFmtId="0" fontId="9" fillId="0" borderId="46" xfId="78" applyFont="1" applyFill="1" applyBorder="1" applyAlignment="1" applyProtection="1">
      <alignment horizontal="left" vertical="center"/>
      <protection locked="0"/>
    </xf>
    <xf numFmtId="9" fontId="117" fillId="12" borderId="0" xfId="81" applyNumberFormat="1" applyFont="1" applyFill="1" applyAlignment="1" applyProtection="1">
      <alignment horizontal="center" vertical="center" wrapText="1"/>
      <protection locked="0"/>
    </xf>
    <xf numFmtId="164" fontId="2" fillId="12" borderId="6" xfId="81" applyNumberFormat="1" applyFill="1" applyBorder="1" applyAlignment="1" applyProtection="1">
      <alignment horizontal="center" vertical="center"/>
      <protection locked="0"/>
    </xf>
    <xf numFmtId="164" fontId="2" fillId="12" borderId="6" xfId="81" applyNumberFormat="1" applyFont="1" applyFill="1" applyBorder="1" applyAlignment="1" applyProtection="1">
      <alignment horizontal="center" vertical="center"/>
      <protection locked="0"/>
    </xf>
    <xf numFmtId="0" fontId="117" fillId="12" borderId="6" xfId="80" applyFont="1" applyFill="1" applyBorder="1" applyAlignment="1" applyProtection="1">
      <alignment vertical="center"/>
      <protection locked="0"/>
    </xf>
    <xf numFmtId="165" fontId="117" fillId="12" borderId="128" xfId="80" applyNumberFormat="1" applyFont="1" applyFill="1" applyBorder="1" applyAlignment="1" applyProtection="1">
      <alignment vertical="center"/>
      <protection locked="0"/>
    </xf>
    <xf numFmtId="178" fontId="98" fillId="12" borderId="119" xfId="85" applyNumberFormat="1" applyFont="1" applyFill="1" applyBorder="1" applyAlignment="1" applyProtection="1">
      <alignment horizontal="center" vertical="center"/>
      <protection locked="0"/>
    </xf>
    <xf numFmtId="178" fontId="98" fillId="12" borderId="7" xfId="85" applyNumberFormat="1" applyFont="1" applyFill="1" applyBorder="1" applyAlignment="1" applyProtection="1">
      <alignment horizontal="center" vertical="center"/>
      <protection locked="0"/>
    </xf>
    <xf numFmtId="178" fontId="98" fillId="12" borderId="8" xfId="85" applyNumberFormat="1" applyFont="1" applyFill="1" applyBorder="1" applyAlignment="1" applyProtection="1">
      <alignment horizontal="center" vertical="center"/>
      <protection locked="0"/>
    </xf>
    <xf numFmtId="49" fontId="98" fillId="12" borderId="119" xfId="85" applyNumberFormat="1" applyFont="1" applyFill="1" applyBorder="1" applyAlignment="1" applyProtection="1">
      <alignment horizontal="center" vertical="center" shrinkToFit="1"/>
      <protection locked="0"/>
    </xf>
    <xf numFmtId="49" fontId="98" fillId="12" borderId="7" xfId="85" applyNumberFormat="1" applyFont="1" applyFill="1" applyBorder="1" applyAlignment="1" applyProtection="1">
      <alignment horizontal="center" vertical="center" shrinkToFit="1"/>
      <protection locked="0"/>
    </xf>
    <xf numFmtId="0" fontId="16" fillId="12" borderId="119" xfId="88" applyFont="1" applyFill="1" applyBorder="1" applyAlignment="1" applyProtection="1">
      <alignment horizontal="center" vertical="center"/>
      <protection locked="0"/>
    </xf>
    <xf numFmtId="0" fontId="16" fillId="12" borderId="7" xfId="88" applyFont="1" applyFill="1" applyBorder="1" applyAlignment="1" applyProtection="1">
      <alignment horizontal="center" vertical="center"/>
      <protection locked="0"/>
    </xf>
    <xf numFmtId="0" fontId="16" fillId="12" borderId="8" xfId="88" applyFont="1" applyFill="1" applyBorder="1" applyAlignment="1" applyProtection="1">
      <alignment horizontal="center" vertical="center"/>
      <protection locked="0"/>
    </xf>
    <xf numFmtId="0" fontId="19" fillId="12" borderId="43" xfId="88" applyFont="1" applyFill="1" applyBorder="1" applyAlignment="1" applyProtection="1">
      <alignment horizontal="center" vertical="center"/>
      <protection locked="0"/>
    </xf>
    <xf numFmtId="0" fontId="19" fillId="12" borderId="7" xfId="88" applyFont="1" applyFill="1" applyBorder="1" applyAlignment="1" applyProtection="1">
      <alignment horizontal="center" vertical="center"/>
      <protection locked="0"/>
    </xf>
    <xf numFmtId="0" fontId="19" fillId="12" borderId="8" xfId="88" applyFont="1" applyFill="1" applyBorder="1" applyAlignment="1" applyProtection="1">
      <alignment horizontal="center" vertical="center"/>
      <protection locked="0"/>
    </xf>
    <xf numFmtId="0" fontId="19" fillId="12" borderId="44" xfId="88" applyFont="1" applyFill="1" applyBorder="1" applyAlignment="1" applyProtection="1">
      <alignment horizontal="center" vertical="center"/>
      <protection locked="0"/>
    </xf>
    <xf numFmtId="0" fontId="19" fillId="12" borderId="76" xfId="88" applyFont="1" applyFill="1" applyBorder="1" applyAlignment="1" applyProtection="1">
      <alignment horizontal="center" vertical="center"/>
      <protection locked="0"/>
    </xf>
    <xf numFmtId="0" fontId="19" fillId="12" borderId="21" xfId="88" applyFont="1" applyFill="1" applyBorder="1" applyAlignment="1" applyProtection="1">
      <alignment horizontal="center" vertical="center"/>
      <protection locked="0"/>
    </xf>
    <xf numFmtId="0" fontId="19" fillId="12" borderId="58" xfId="88" applyFont="1" applyFill="1" applyBorder="1" applyAlignment="1" applyProtection="1">
      <alignment horizontal="center" vertical="center"/>
      <protection locked="0"/>
    </xf>
    <xf numFmtId="0" fontId="19" fillId="12" borderId="75" xfId="88" applyFont="1" applyFill="1" applyBorder="1" applyAlignment="1" applyProtection="1">
      <alignment horizontal="center"/>
      <protection locked="0"/>
    </xf>
    <xf numFmtId="0" fontId="19" fillId="12" borderId="43" xfId="88" applyFont="1" applyFill="1" applyBorder="1" applyAlignment="1" applyProtection="1">
      <alignment horizontal="center"/>
      <protection locked="0"/>
    </xf>
    <xf numFmtId="0" fontId="19" fillId="12" borderId="75" xfId="88" applyFont="1" applyFill="1" applyBorder="1" applyAlignment="1" applyProtection="1">
      <alignment horizontal="center" vertical="center"/>
      <protection locked="0"/>
    </xf>
    <xf numFmtId="0" fontId="19" fillId="0" borderId="69" xfId="81" applyFont="1" applyFill="1" applyBorder="1" applyAlignment="1">
      <alignment vertical="center"/>
    </xf>
  </cellXfs>
  <cellStyles count="92">
    <cellStyle name="Comma" xfId="1" builtinId="3"/>
    <cellStyle name="Comma 2" xfId="2"/>
    <cellStyle name="Comma 3" xfId="3"/>
    <cellStyle name="Comma 4" xfId="4"/>
    <cellStyle name="Comma 5" xfId="5"/>
    <cellStyle name="Comma 6" xfId="6"/>
    <cellStyle name="Comma 7" xfId="7"/>
    <cellStyle name="Currency" xfId="8" builtinId="4"/>
    <cellStyle name="Currency 2" xfId="9"/>
    <cellStyle name="Currency 2 2" xfId="10"/>
    <cellStyle name="Currency 2 3" xfId="84"/>
    <cellStyle name="Currency 3" xfId="11"/>
    <cellStyle name="Currency 4" xfId="12"/>
    <cellStyle name="Currency 5" xfId="13"/>
    <cellStyle name="Currency 6" xfId="14"/>
    <cellStyle name="Currency 7" xfId="15"/>
    <cellStyle name="Currency 8" xfId="16"/>
    <cellStyle name="Hyperlink" xfId="17" builtinId="8"/>
    <cellStyle name="Hyperlink 2" xfId="18"/>
    <cellStyle name="Hyperlink 3" xfId="19"/>
    <cellStyle name="Hyperlink 4" xfId="20"/>
    <cellStyle name="Label" xfId="21"/>
    <cellStyle name="Label No Shade" xfId="22"/>
    <cellStyle name="Label Shaded" xfId="23"/>
    <cellStyle name="Normal" xfId="0" builtinId="0"/>
    <cellStyle name="Normal 10" xfId="24"/>
    <cellStyle name="Normal 10 2" xfId="81"/>
    <cellStyle name="Normal 11" xfId="25"/>
    <cellStyle name="Normal 12" xfId="26"/>
    <cellStyle name="Normal 12 2" xfId="27"/>
    <cellStyle name="Normal 13" xfId="28"/>
    <cellStyle name="Normal 13 2" xfId="29"/>
    <cellStyle name="Normal 14" xfId="30"/>
    <cellStyle name="Normal 14 2" xfId="31"/>
    <cellStyle name="Normal 15" xfId="32"/>
    <cellStyle name="Normal 15 2" xfId="33"/>
    <cellStyle name="Normal 15 3" xfId="87"/>
    <cellStyle name="Normal 16" xfId="34"/>
    <cellStyle name="Normal 16 2" xfId="35"/>
    <cellStyle name="Normal 17" xfId="36"/>
    <cellStyle name="Normal 18" xfId="79"/>
    <cellStyle name="Normal 19" xfId="78"/>
    <cellStyle name="Normal 2" xfId="37"/>
    <cellStyle name="Normal 2 2" xfId="38"/>
    <cellStyle name="Normal 2 2 2" xfId="39"/>
    <cellStyle name="Normal 2 2 3" xfId="85"/>
    <cellStyle name="Normal 2 3" xfId="40"/>
    <cellStyle name="Normal 2 4" xfId="41"/>
    <cellStyle name="Normal 2 5" xfId="83"/>
    <cellStyle name="Normal 20" xfId="80"/>
    <cellStyle name="Normal 3" xfId="42"/>
    <cellStyle name="Normal 3 2" xfId="43"/>
    <cellStyle name="Normal 3 2 2" xfId="44"/>
    <cellStyle name="Normal 3 2_Item C7" xfId="45"/>
    <cellStyle name="Normal 3 3" xfId="46"/>
    <cellStyle name="Normal 3 3 2" xfId="47"/>
    <cellStyle name="Normal 3 4" xfId="48"/>
    <cellStyle name="Normal 3 5" xfId="89"/>
    <cellStyle name="Normal 3_Item C7" xfId="49"/>
    <cellStyle name="Normal 4" xfId="50"/>
    <cellStyle name="Normal 4 2" xfId="51"/>
    <cellStyle name="Normal 4 2 2" xfId="52"/>
    <cellStyle name="Normal 4 2 3" xfId="86"/>
    <cellStyle name="Normal 4 2_Item C7" xfId="53"/>
    <cellStyle name="Normal 4 3" xfId="54"/>
    <cellStyle name="Normal 4 3 2" xfId="55"/>
    <cellStyle name="Normal 4 3_Item C7" xfId="56"/>
    <cellStyle name="Normal 4 4" xfId="57"/>
    <cellStyle name="Normal 4 5" xfId="82"/>
    <cellStyle name="Normal 5" xfId="58"/>
    <cellStyle name="Normal 5 2" xfId="59"/>
    <cellStyle name="Normal 5 2 2" xfId="60"/>
    <cellStyle name="Normal 5 2_Item C7" xfId="61"/>
    <cellStyle name="Normal 5 3" xfId="62"/>
    <cellStyle name="Normal 5_Item C7" xfId="63"/>
    <cellStyle name="Normal 6" xfId="64"/>
    <cellStyle name="Normal 6 2" xfId="65"/>
    <cellStyle name="Normal 7" xfId="66"/>
    <cellStyle name="Normal 8" xfId="67"/>
    <cellStyle name="Normal 8 2" xfId="68"/>
    <cellStyle name="Normal 8_Item C7" xfId="69"/>
    <cellStyle name="Normal 9" xfId="70"/>
    <cellStyle name="Normal_CTCAC 9% Application 7-18-07 practice run 3" xfId="88"/>
    <cellStyle name="Normal_CTCAC 9% Application 7-18-07 practice run 3 2" xfId="90"/>
    <cellStyle name="Normal_Draft Rent &amp; Unit Mix Sheet" xfId="71"/>
    <cellStyle name="Normal_Project Report (Round 3 2002 ) 2-15-02" xfId="91"/>
    <cellStyle name="Normal_Sheet2" xfId="72"/>
    <cellStyle name="Percent" xfId="73" builtinId="5"/>
    <cellStyle name="Percent 2" xfId="74"/>
    <cellStyle name="Percent 2 2" xfId="75"/>
    <cellStyle name="Percent 3" xfId="76"/>
    <cellStyle name="Text Entry" xfId="77"/>
  </cellStyles>
  <dxfs count="110">
    <dxf>
      <fill>
        <patternFill>
          <bgColor rgb="FFFFFF99"/>
        </patternFill>
      </fill>
    </dxf>
    <dxf>
      <font>
        <color theme="0"/>
      </font>
    </dxf>
    <dxf>
      <font>
        <b/>
        <i val="0"/>
      </font>
      <fill>
        <gradientFill degree="90">
          <stop position="0">
            <color theme="0"/>
          </stop>
          <stop position="1">
            <color rgb="FFCCFFCC"/>
          </stop>
        </gradientFill>
      </fill>
    </dxf>
    <dxf>
      <font>
        <b/>
        <i val="0"/>
      </font>
      <fill>
        <gradientFill degree="90">
          <stop position="0">
            <color theme="0"/>
          </stop>
          <stop position="1">
            <color rgb="FFFF8585"/>
          </stop>
        </gradientFill>
      </fill>
    </dxf>
    <dxf>
      <fill>
        <patternFill>
          <bgColor rgb="FFFFFF99"/>
        </patternFill>
      </fill>
    </dxf>
    <dxf>
      <fill>
        <patternFill>
          <bgColor rgb="FFFFFFCC"/>
        </patternFill>
      </fill>
    </dxf>
    <dxf>
      <fill>
        <patternFill>
          <bgColor rgb="FFFFFFCC"/>
        </patternFill>
      </fill>
    </dxf>
    <dxf>
      <fill>
        <patternFill>
          <bgColor rgb="FFFFFF99"/>
        </patternFill>
      </fill>
    </dxf>
    <dxf>
      <font>
        <color rgb="FFFF0000"/>
      </font>
    </dxf>
    <dxf>
      <font>
        <condense val="0"/>
        <extend val="0"/>
        <color indexed="10"/>
      </font>
    </dxf>
    <dxf>
      <fill>
        <gradientFill degree="90">
          <stop position="0">
            <color theme="0"/>
          </stop>
          <stop position="1">
            <color rgb="FFFF7171"/>
          </stop>
        </gradientFill>
      </fill>
    </dxf>
    <dxf>
      <font>
        <b/>
        <i/>
      </font>
    </dxf>
    <dxf>
      <font>
        <color rgb="FF3333FF"/>
      </font>
    </dxf>
    <dxf>
      <font>
        <b/>
        <i/>
      </font>
    </dxf>
    <dxf>
      <fill>
        <patternFill>
          <bgColor rgb="FFB7DEE8"/>
        </pattern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patternFill>
          <bgColor rgb="FFB7DEE8"/>
        </patternFill>
      </fill>
    </dxf>
    <dxf>
      <fill>
        <patternFill>
          <bgColor rgb="FFB7DEE8"/>
        </patternFill>
      </fill>
    </dxf>
    <dxf>
      <fill>
        <gradientFill degree="90">
          <stop position="0">
            <color theme="0"/>
          </stop>
          <stop position="1">
            <color theme="4"/>
          </stop>
        </gradientFill>
      </fill>
    </dxf>
    <dxf>
      <font>
        <color theme="0"/>
      </font>
      <fill>
        <patternFill>
          <bgColor theme="0"/>
        </patternFill>
      </fill>
      <border>
        <bottom/>
      </border>
    </dxf>
    <dxf>
      <font>
        <color theme="0"/>
      </font>
    </dxf>
    <dxf>
      <font>
        <color theme="0"/>
      </font>
      <fill>
        <patternFill>
          <bgColor theme="0"/>
        </patternFill>
      </fill>
      <border>
        <bottom/>
      </border>
    </dxf>
    <dxf>
      <font>
        <color theme="0"/>
      </font>
    </dxf>
    <dxf>
      <fill>
        <gradientFill degree="90">
          <stop position="0">
            <color theme="0"/>
          </stop>
          <stop position="1">
            <color theme="4"/>
          </stop>
        </gradientFill>
      </fill>
    </dxf>
    <dxf>
      <font>
        <b/>
        <i/>
      </font>
    </dxf>
    <dxf>
      <font>
        <b/>
        <i/>
      </font>
    </dxf>
    <dxf>
      <font>
        <color rgb="FF3333FF"/>
      </font>
    </dxf>
    <dxf>
      <font>
        <color theme="0"/>
      </font>
      <fill>
        <patternFill>
          <bgColor theme="0"/>
        </patternFill>
      </fill>
      <border>
        <left/>
        <right/>
        <top/>
        <bottom/>
      </border>
    </dxf>
    <dxf>
      <font>
        <color theme="0"/>
      </font>
      <border>
        <left/>
        <right/>
        <top/>
        <bottom/>
      </border>
    </dxf>
    <dxf>
      <font>
        <b/>
        <i/>
      </font>
    </dxf>
    <dxf>
      <font>
        <b/>
        <i/>
      </font>
    </dxf>
    <dxf>
      <font>
        <condense val="0"/>
        <extend val="0"/>
        <color auto="1"/>
      </font>
      <fill>
        <patternFill patternType="none">
          <bgColor indexed="65"/>
        </patternFill>
      </fill>
    </dxf>
    <dxf>
      <font>
        <condense val="0"/>
        <extend val="0"/>
        <color auto="1"/>
      </font>
      <fill>
        <patternFill>
          <bgColor indexed="43"/>
        </patternFill>
      </fill>
    </dxf>
    <dxf>
      <font>
        <condense val="0"/>
        <extend val="0"/>
        <color auto="1"/>
      </font>
    </dxf>
    <dxf>
      <fill>
        <gradientFill degree="90">
          <stop position="0">
            <color theme="0"/>
          </stop>
          <stop position="1">
            <color rgb="FFFF7171"/>
          </stop>
        </gradientFill>
      </fill>
    </dxf>
    <dxf>
      <font>
        <color theme="0"/>
      </font>
    </dxf>
    <dxf>
      <fill>
        <gradientFill degree="90">
          <stop position="0">
            <color theme="0"/>
          </stop>
          <stop position="1">
            <color rgb="FFFF7171"/>
          </stop>
        </gradientFill>
      </fill>
    </dxf>
    <dxf>
      <fill>
        <gradientFill degree="90">
          <stop position="0">
            <color theme="0"/>
          </stop>
          <stop position="1">
            <color rgb="FFFF7171"/>
          </stop>
        </gradientFill>
      </fill>
    </dxf>
    <dxf>
      <font>
        <color theme="0"/>
      </font>
    </dxf>
    <dxf>
      <font>
        <color theme="0"/>
      </font>
    </dxf>
    <dxf>
      <font>
        <color theme="0"/>
      </font>
    </dxf>
    <dxf>
      <fill>
        <gradientFill degree="90">
          <stop position="0">
            <color theme="0"/>
          </stop>
          <stop position="1">
            <color rgb="FFFF8585"/>
          </stop>
        </gradientFill>
      </fill>
    </dxf>
    <dxf>
      <fill>
        <gradientFill degree="90">
          <stop position="0">
            <color theme="0"/>
          </stop>
          <stop position="1">
            <color rgb="FFFF8585"/>
          </stop>
        </gradientFill>
      </fill>
    </dxf>
    <dxf>
      <font>
        <color theme="6" tint="0.59996337778862885"/>
      </font>
    </dxf>
    <dxf>
      <fill>
        <gradientFill degree="90">
          <stop position="0">
            <color theme="0"/>
          </stop>
          <stop position="1">
            <color rgb="FFFF8585"/>
          </stop>
        </gradientFill>
      </fill>
    </dxf>
    <dxf>
      <font>
        <color theme="6" tint="0.59996337778862885"/>
      </font>
    </dxf>
    <dxf>
      <fill>
        <gradientFill degree="90">
          <stop position="0">
            <color theme="0"/>
          </stop>
          <stop position="1">
            <color rgb="FFFF8585"/>
          </stop>
        </gradientFill>
      </fill>
    </dxf>
    <dxf>
      <font>
        <color theme="6" tint="0.59996337778862885"/>
      </font>
    </dxf>
    <dxf>
      <fill>
        <patternFill>
          <bgColor theme="0"/>
        </patternFill>
      </fill>
    </dxf>
    <dxf>
      <fill>
        <gradientFill degree="90">
          <stop position="0">
            <color theme="0"/>
          </stop>
          <stop position="1">
            <color rgb="FFFFFF00"/>
          </stop>
        </gradientFill>
      </fill>
      <border>
        <left style="thin">
          <color rgb="FFFF0000"/>
        </left>
        <right style="thin">
          <color rgb="FFFF0000"/>
        </right>
        <top style="thin">
          <color rgb="FFFF0000"/>
        </top>
        <bottom style="thin">
          <color rgb="FFFF0000"/>
        </bottom>
      </border>
    </dxf>
    <dxf>
      <fill>
        <gradientFill degree="90">
          <stop position="0">
            <color theme="0"/>
          </stop>
          <stop position="1">
            <color rgb="FFFF8585"/>
          </stop>
        </gradientFill>
      </fill>
    </dxf>
    <dxf>
      <font>
        <color theme="0"/>
      </font>
      <fill>
        <patternFill patternType="none">
          <bgColor auto="1"/>
        </patternFill>
      </fill>
      <border>
        <bottom style="thin">
          <color theme="0"/>
        </bottom>
      </border>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border>
        <left style="thin">
          <color auto="1"/>
        </left>
        <right style="thin">
          <color auto="1"/>
        </right>
        <top style="thin">
          <color auto="1"/>
        </top>
        <bottom style="thin">
          <color auto="1"/>
        </bottom>
        <vertical/>
        <horizontal/>
      </border>
    </dxf>
    <dxf>
      <font>
        <color theme="0"/>
      </font>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indexed="43"/>
        </patternFill>
      </fill>
    </dxf>
    <dxf>
      <fill>
        <patternFill>
          <bgColor indexed="43"/>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gradientFill degree="90">
          <stop position="0">
            <color theme="0"/>
          </stop>
          <stop position="1">
            <color rgb="FFFFFF00"/>
          </stop>
        </gradientFill>
      </fill>
      <border>
        <left style="thin">
          <color rgb="FFFF0000"/>
        </left>
        <right style="thin">
          <color rgb="FFFF0000"/>
        </right>
        <top style="thin">
          <color rgb="FFFF0000"/>
        </top>
        <bottom style="thin">
          <color rgb="FFFF0000"/>
        </bottom>
        <vertical/>
        <horizontal/>
      </border>
    </dxf>
    <dxf>
      <fill>
        <gradientFill degree="90">
          <stop position="0">
            <color theme="0"/>
          </stop>
          <stop position="1">
            <color rgb="FFFFFF00"/>
          </stop>
        </gradientFill>
      </fill>
      <border>
        <left style="thin">
          <color rgb="FFFF0000"/>
        </left>
        <right style="thin">
          <color rgb="FFFF0000"/>
        </right>
        <top style="thin">
          <color rgb="FFFF0000"/>
        </top>
        <bottom style="thin">
          <color rgb="FFFF0000"/>
        </bottom>
        <vertical/>
        <horizontal/>
      </border>
    </dxf>
    <dxf>
      <fill>
        <gradientFill degree="90">
          <stop position="0">
            <color theme="0"/>
          </stop>
          <stop position="1">
            <color rgb="FFFFFF00"/>
          </stop>
        </gradientFill>
      </fill>
      <border>
        <left style="thin">
          <color rgb="FFFF0000"/>
        </left>
        <right style="thin">
          <color rgb="FFFF0000"/>
        </right>
        <top style="thin">
          <color rgb="FFFF0000"/>
        </top>
        <bottom style="thin">
          <color rgb="FFFF0000"/>
        </bottom>
        <vertical/>
        <horizontal/>
      </border>
    </dxf>
    <dxf>
      <fill>
        <gradientFill degree="90">
          <stop position="0">
            <color theme="0"/>
          </stop>
          <stop position="1">
            <color rgb="FFFFFF00"/>
          </stop>
        </gradientFill>
      </fill>
      <border>
        <left style="thin">
          <color rgb="FFFF0000"/>
        </left>
        <right style="thin">
          <color rgb="FFFF0000"/>
        </right>
        <top style="thin">
          <color rgb="FFFF0000"/>
        </top>
        <bottom style="thin">
          <color rgb="FFFF0000"/>
        </bottom>
        <vertical/>
        <horizontal/>
      </border>
    </dxf>
    <dxf>
      <fill>
        <gradientFill degree="90">
          <stop position="0">
            <color theme="0"/>
          </stop>
          <stop position="1">
            <color rgb="FFFFFF00"/>
          </stop>
        </gradientFill>
      </fill>
      <border>
        <left style="thin">
          <color rgb="FFFF0000"/>
        </left>
        <right style="thin">
          <color rgb="FFFF0000"/>
        </right>
        <top style="thin">
          <color rgb="FFFF0000"/>
        </top>
        <bottom style="thin">
          <color rgb="FFFF0000"/>
        </bottom>
        <vertical/>
        <horizontal/>
      </border>
    </dxf>
    <dxf>
      <font>
        <b/>
        <i val="0"/>
        <condense val="0"/>
        <extend val="0"/>
      </font>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56"/>
        </patternFill>
      </fill>
      <border>
        <left style="thin">
          <color indexed="64"/>
        </left>
        <right style="thin">
          <color indexed="64"/>
        </right>
        <top style="thin">
          <color indexed="64"/>
        </top>
        <bottom style="thin">
          <color indexed="64"/>
        </bottom>
      </border>
    </dxf>
    <dxf>
      <font>
        <b/>
        <i/>
        <condense val="0"/>
        <extend val="0"/>
        <color indexed="10"/>
      </font>
    </dxf>
    <dxf>
      <fill>
        <patternFill>
          <bgColor indexed="43"/>
        </patternFill>
      </fill>
    </dxf>
    <dxf>
      <fill>
        <patternFill>
          <bgColor indexed="43"/>
        </patternFill>
      </fill>
    </dxf>
    <dxf>
      <fill>
        <patternFill>
          <bgColor indexed="43"/>
        </patternFill>
      </fill>
    </dxf>
    <dxf>
      <fill>
        <patternFill>
          <bgColor indexed="43"/>
        </patternFill>
      </fill>
      <border>
        <left style="thin">
          <color indexed="64"/>
        </left>
        <right style="thin">
          <color indexed="64"/>
        </right>
        <top style="thin">
          <color indexed="64"/>
        </top>
        <bottom style="thin">
          <color indexed="64"/>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99"/>
      <color rgb="FFCCFFCC"/>
      <color rgb="FF0000FF"/>
      <color rgb="FFFF7171"/>
      <color rgb="FFB7DE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fmlaLink="'Cash Flow'!$AZ$62"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noThreeD="1"/>
</file>

<file path=xl/ctrlProps/ctrlProp70.xml><?xml version="1.0" encoding="utf-8"?>
<formControlPr xmlns="http://schemas.microsoft.com/office/spreadsheetml/2009/9/main" objectType="CheckBox" noThreeD="1"/>
</file>

<file path=xl/ctrlProps/ctrlProp71.xml><?xml version="1.0" encoding="utf-8"?>
<formControlPr xmlns="http://schemas.microsoft.com/office/spreadsheetml/2009/9/main" objectType="CheckBox" noThreeD="1"/>
</file>

<file path=xl/ctrlProps/ctrlProp72.xml><?xml version="1.0" encoding="utf-8"?>
<formControlPr xmlns="http://schemas.microsoft.com/office/spreadsheetml/2009/9/main" objectType="CheckBox" noThreeD="1"/>
</file>

<file path=xl/ctrlProps/ctrlProp73.xml><?xml version="1.0" encoding="utf-8"?>
<formControlPr xmlns="http://schemas.microsoft.com/office/spreadsheetml/2009/9/main" objectType="CheckBox" noThreeD="1"/>
</file>

<file path=xl/ctrlProps/ctrlProp74.xml><?xml version="1.0" encoding="utf-8"?>
<formControlPr xmlns="http://schemas.microsoft.com/office/spreadsheetml/2009/9/main" objectType="CheckBox" noThreeD="1"/>
</file>

<file path=xl/ctrlProps/ctrlProp75.xml><?xml version="1.0" encoding="utf-8"?>
<formControlPr xmlns="http://schemas.microsoft.com/office/spreadsheetml/2009/9/main" objectType="Radio" checked="Checked" firstButton="1" fmlaLink="E9" noThreeD="1"/>
</file>

<file path=xl/ctrlProps/ctrlProp76.xml><?xml version="1.0" encoding="utf-8"?>
<formControlPr xmlns="http://schemas.microsoft.com/office/spreadsheetml/2009/9/main" objectType="Radio" noThreeD="1"/>
</file>

<file path=xl/ctrlProps/ctrlProp77.xml><?xml version="1.0" encoding="utf-8"?>
<formControlPr xmlns="http://schemas.microsoft.com/office/spreadsheetml/2009/9/main" objectType="CheckBox" noThreeD="1"/>
</file>

<file path=xl/ctrlProps/ctrlProp78.xml><?xml version="1.0" encoding="utf-8"?>
<formControlPr xmlns="http://schemas.microsoft.com/office/spreadsheetml/2009/9/main" objectType="CheckBox" noThreeD="1"/>
</file>

<file path=xl/ctrlProps/ctrlProp79.xml><?xml version="1.0" encoding="utf-8"?>
<formControlPr xmlns="http://schemas.microsoft.com/office/spreadsheetml/2009/9/main" objectType="CheckBox" noThreeD="1"/>
</file>

<file path=xl/ctrlProps/ctrlProp80.xml><?xml version="1.0" encoding="utf-8"?>
<formControlPr xmlns="http://schemas.microsoft.com/office/spreadsheetml/2009/9/main" objectType="CheckBox" noThreeD="1"/>
</file>

<file path=xl/ctrlProps/ctrlProp81.xml><?xml version="1.0" encoding="utf-8"?>
<formControlPr xmlns="http://schemas.microsoft.com/office/spreadsheetml/2009/9/main" objectType="CheckBox" noThreeD="1"/>
</file>

<file path=xl/ctrlProps/ctrlProp82.xml><?xml version="1.0" encoding="utf-8"?>
<formControlPr xmlns="http://schemas.microsoft.com/office/spreadsheetml/2009/9/main" objectType="CheckBox"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GBox"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GBox" noThreeD="1"/>
</file>

<file path=xl/ctrlProps/ctrlProp91.xml><?xml version="1.0" encoding="utf-8"?>
<formControlPr xmlns="http://schemas.microsoft.com/office/spreadsheetml/2009/9/main" objectType="Radio" checked="Checked" firstButton="1" fmlaLink="$G$20"/>
</file>

<file path=xl/ctrlProps/ctrlProp92.xml><?xml version="1.0" encoding="utf-8"?>
<formControlPr xmlns="http://schemas.microsoft.com/office/spreadsheetml/2009/9/main" objectType="Radio"/>
</file>

<file path=xl/ctrlProps/ctrlProp93.xml><?xml version="1.0" encoding="utf-8"?>
<formControlPr xmlns="http://schemas.microsoft.com/office/spreadsheetml/2009/9/main" objectType="Radio" checked="Checked" firstButton="1" fmlaLink="D3" lockText="1" noThreeD="1"/>
</file>

<file path=xl/ctrlProps/ctrlProp94.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38100</xdr:rowOff>
    </xdr:from>
    <xdr:to>
      <xdr:col>7</xdr:col>
      <xdr:colOff>76200</xdr:colOff>
      <xdr:row>8</xdr:row>
      <xdr:rowOff>9525</xdr:rowOff>
    </xdr:to>
    <xdr:pic>
      <xdr:nvPicPr>
        <xdr:cNvPr id="126998" name="Picture 5" descr="hcdlogo">
          <a:extLst>
            <a:ext uri="{FF2B5EF4-FFF2-40B4-BE49-F238E27FC236}">
              <a16:creationId xmlns:a16="http://schemas.microsoft.com/office/drawing/2014/main" id="{00000000-0008-0000-0000-000016F0010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200025"/>
          <a:ext cx="122872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76200</xdr:colOff>
      <xdr:row>4</xdr:row>
      <xdr:rowOff>104775</xdr:rowOff>
    </xdr:from>
    <xdr:to>
      <xdr:col>29</xdr:col>
      <xdr:colOff>66675</xdr:colOff>
      <xdr:row>7</xdr:row>
      <xdr:rowOff>114300</xdr:rowOff>
    </xdr:to>
    <xdr:pic>
      <xdr:nvPicPr>
        <xdr:cNvPr id="126999" name="Picture 6" descr="calhfatopleft">
          <a:extLst>
            <a:ext uri="{FF2B5EF4-FFF2-40B4-BE49-F238E27FC236}">
              <a16:creationId xmlns:a16="http://schemas.microsoft.com/office/drawing/2014/main" id="{00000000-0008-0000-0000-000017F0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71675" y="866775"/>
          <a:ext cx="3514725" cy="4953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171450</xdr:colOff>
      <xdr:row>1</xdr:row>
      <xdr:rowOff>85725</xdr:rowOff>
    </xdr:from>
    <xdr:to>
      <xdr:col>37</xdr:col>
      <xdr:colOff>66675</xdr:colOff>
      <xdr:row>7</xdr:row>
      <xdr:rowOff>123825</xdr:rowOff>
    </xdr:to>
    <xdr:pic>
      <xdr:nvPicPr>
        <xdr:cNvPr id="127000" name="Picture 7" descr="stoseal">
          <a:extLst>
            <a:ext uri="{FF2B5EF4-FFF2-40B4-BE49-F238E27FC236}">
              <a16:creationId xmlns:a16="http://schemas.microsoft.com/office/drawing/2014/main" id="{00000000-0008-0000-0000-000018F0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924550" y="247650"/>
          <a:ext cx="109537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133350</xdr:colOff>
      <xdr:row>1</xdr:row>
      <xdr:rowOff>38100</xdr:rowOff>
    </xdr:from>
    <xdr:to>
      <xdr:col>10</xdr:col>
      <xdr:colOff>57150</xdr:colOff>
      <xdr:row>8</xdr:row>
      <xdr:rowOff>9525</xdr:rowOff>
    </xdr:to>
    <xdr:pic>
      <xdr:nvPicPr>
        <xdr:cNvPr id="121177" name="Picture 10" descr="hcdlogo">
          <a:extLst>
            <a:ext uri="{FF2B5EF4-FFF2-40B4-BE49-F238E27FC236}">
              <a16:creationId xmlns:a16="http://schemas.microsoft.com/office/drawing/2014/main" id="{00000000-0008-0000-0100-000059D9010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3450" y="200025"/>
          <a:ext cx="121920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104775</xdr:colOff>
      <xdr:row>4</xdr:row>
      <xdr:rowOff>95250</xdr:rowOff>
    </xdr:from>
    <xdr:to>
      <xdr:col>29</xdr:col>
      <xdr:colOff>133350</xdr:colOff>
      <xdr:row>7</xdr:row>
      <xdr:rowOff>95250</xdr:rowOff>
    </xdr:to>
    <xdr:pic>
      <xdr:nvPicPr>
        <xdr:cNvPr id="121178" name="Picture 11" descr="calhfatopleft">
          <a:extLst>
            <a:ext uri="{FF2B5EF4-FFF2-40B4-BE49-F238E27FC236}">
              <a16:creationId xmlns:a16="http://schemas.microsoft.com/office/drawing/2014/main" id="{00000000-0008-0000-0100-00005AD9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00300" y="857250"/>
          <a:ext cx="3514725" cy="48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57150</xdr:colOff>
      <xdr:row>1</xdr:row>
      <xdr:rowOff>76200</xdr:rowOff>
    </xdr:from>
    <xdr:to>
      <xdr:col>36</xdr:col>
      <xdr:colOff>152400</xdr:colOff>
      <xdr:row>7</xdr:row>
      <xdr:rowOff>95250</xdr:rowOff>
    </xdr:to>
    <xdr:pic>
      <xdr:nvPicPr>
        <xdr:cNvPr id="121179" name="Picture 12" descr="stoseal">
          <a:extLst>
            <a:ext uri="{FF2B5EF4-FFF2-40B4-BE49-F238E27FC236}">
              <a16:creationId xmlns:a16="http://schemas.microsoft.com/office/drawing/2014/main" id="{00000000-0008-0000-0100-00005BD9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38875" y="238125"/>
          <a:ext cx="109537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190500</xdr:colOff>
          <xdr:row>17</xdr:row>
          <xdr:rowOff>142875</xdr:rowOff>
        </xdr:from>
        <xdr:to>
          <xdr:col>2</xdr:col>
          <xdr:colOff>104775</xdr:colOff>
          <xdr:row>19</xdr:row>
          <xdr:rowOff>28575</xdr:rowOff>
        </xdr:to>
        <xdr:sp macro="" textlink="">
          <xdr:nvSpPr>
            <xdr:cNvPr id="30785" name="Check Box 65" hidden="1">
              <a:extLst>
                <a:ext uri="{63B3BB69-23CF-44E3-9099-C40C66FF867C}">
                  <a14:compatExt spid="_x0000_s30785"/>
                </a:ext>
                <a:ext uri="{FF2B5EF4-FFF2-40B4-BE49-F238E27FC236}">
                  <a16:creationId xmlns:a16="http://schemas.microsoft.com/office/drawing/2014/main" id="{00000000-0008-0000-0100-00004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15</xdr:row>
          <xdr:rowOff>133350</xdr:rowOff>
        </xdr:from>
        <xdr:to>
          <xdr:col>2</xdr:col>
          <xdr:colOff>95250</xdr:colOff>
          <xdr:row>17</xdr:row>
          <xdr:rowOff>38100</xdr:rowOff>
        </xdr:to>
        <xdr:sp macro="" textlink="">
          <xdr:nvSpPr>
            <xdr:cNvPr id="30787" name="Check Box 67" hidden="1">
              <a:extLst>
                <a:ext uri="{63B3BB69-23CF-44E3-9099-C40C66FF867C}">
                  <a14:compatExt spid="_x0000_s30787"/>
                </a:ext>
                <a:ext uri="{FF2B5EF4-FFF2-40B4-BE49-F238E27FC236}">
                  <a16:creationId xmlns:a16="http://schemas.microsoft.com/office/drawing/2014/main" id="{00000000-0008-0000-0100-00004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16</xdr:row>
          <xdr:rowOff>152400</xdr:rowOff>
        </xdr:from>
        <xdr:to>
          <xdr:col>2</xdr:col>
          <xdr:colOff>95250</xdr:colOff>
          <xdr:row>18</xdr:row>
          <xdr:rowOff>28575</xdr:rowOff>
        </xdr:to>
        <xdr:sp macro="" textlink="">
          <xdr:nvSpPr>
            <xdr:cNvPr id="30788" name="Check Box 68" hidden="1">
              <a:extLst>
                <a:ext uri="{63B3BB69-23CF-44E3-9099-C40C66FF867C}">
                  <a14:compatExt spid="_x0000_s30788"/>
                </a:ext>
                <a:ext uri="{FF2B5EF4-FFF2-40B4-BE49-F238E27FC236}">
                  <a16:creationId xmlns:a16="http://schemas.microsoft.com/office/drawing/2014/main" id="{00000000-0008-0000-0100-00004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13</xdr:row>
          <xdr:rowOff>228600</xdr:rowOff>
        </xdr:from>
        <xdr:to>
          <xdr:col>5</xdr:col>
          <xdr:colOff>66675</xdr:colOff>
          <xdr:row>15</xdr:row>
          <xdr:rowOff>0</xdr:rowOff>
        </xdr:to>
        <xdr:sp macro="" textlink="">
          <xdr:nvSpPr>
            <xdr:cNvPr id="30849" name="Check Box 129" hidden="1">
              <a:extLst>
                <a:ext uri="{63B3BB69-23CF-44E3-9099-C40C66FF867C}">
                  <a14:compatExt spid="_x0000_s30849"/>
                </a:ext>
                <a:ext uri="{FF2B5EF4-FFF2-40B4-BE49-F238E27FC236}">
                  <a16:creationId xmlns:a16="http://schemas.microsoft.com/office/drawing/2014/main" id="{00000000-0008-0000-0100-00008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13</xdr:row>
          <xdr:rowOff>228600</xdr:rowOff>
        </xdr:from>
        <xdr:to>
          <xdr:col>16</xdr:col>
          <xdr:colOff>104775</xdr:colOff>
          <xdr:row>15</xdr:row>
          <xdr:rowOff>0</xdr:rowOff>
        </xdr:to>
        <xdr:sp macro="" textlink="">
          <xdr:nvSpPr>
            <xdr:cNvPr id="30850" name="Check Box 130" hidden="1">
              <a:extLst>
                <a:ext uri="{63B3BB69-23CF-44E3-9099-C40C66FF867C}">
                  <a14:compatExt spid="_x0000_s30850"/>
                </a:ext>
                <a:ext uri="{FF2B5EF4-FFF2-40B4-BE49-F238E27FC236}">
                  <a16:creationId xmlns:a16="http://schemas.microsoft.com/office/drawing/2014/main" id="{00000000-0008-0000-0100-00008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13</xdr:row>
          <xdr:rowOff>228600</xdr:rowOff>
        </xdr:from>
        <xdr:to>
          <xdr:col>23</xdr:col>
          <xdr:colOff>104775</xdr:colOff>
          <xdr:row>15</xdr:row>
          <xdr:rowOff>0</xdr:rowOff>
        </xdr:to>
        <xdr:sp macro="" textlink="">
          <xdr:nvSpPr>
            <xdr:cNvPr id="30851" name="Check Box 131" hidden="1">
              <a:extLst>
                <a:ext uri="{63B3BB69-23CF-44E3-9099-C40C66FF867C}">
                  <a14:compatExt spid="_x0000_s30851"/>
                </a:ext>
                <a:ext uri="{FF2B5EF4-FFF2-40B4-BE49-F238E27FC236}">
                  <a16:creationId xmlns:a16="http://schemas.microsoft.com/office/drawing/2014/main" id="{00000000-0008-0000-0100-00008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xdr:row>
          <xdr:rowOff>219075</xdr:rowOff>
        </xdr:from>
        <xdr:to>
          <xdr:col>33</xdr:col>
          <xdr:colOff>104775</xdr:colOff>
          <xdr:row>15</xdr:row>
          <xdr:rowOff>9525</xdr:rowOff>
        </xdr:to>
        <xdr:sp macro="" textlink="">
          <xdr:nvSpPr>
            <xdr:cNvPr id="30853" name="Check Box 133" hidden="1">
              <a:extLst>
                <a:ext uri="{63B3BB69-23CF-44E3-9099-C40C66FF867C}">
                  <a14:compatExt spid="_x0000_s30853"/>
                </a:ext>
                <a:ext uri="{FF2B5EF4-FFF2-40B4-BE49-F238E27FC236}">
                  <a16:creationId xmlns:a16="http://schemas.microsoft.com/office/drawing/2014/main" id="{00000000-0008-0000-0100-00008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21</xdr:row>
          <xdr:rowOff>180975</xdr:rowOff>
        </xdr:from>
        <xdr:to>
          <xdr:col>1</xdr:col>
          <xdr:colOff>76200</xdr:colOff>
          <xdr:row>32</xdr:row>
          <xdr:rowOff>19050</xdr:rowOff>
        </xdr:to>
        <xdr:grpSp>
          <xdr:nvGrpSpPr>
            <xdr:cNvPr id="123830" name="Group 161">
              <a:extLst>
                <a:ext uri="{FF2B5EF4-FFF2-40B4-BE49-F238E27FC236}">
                  <a16:creationId xmlns:a16="http://schemas.microsoft.com/office/drawing/2014/main" id="{00000000-0008-0000-0400-0000B6E30100}"/>
                </a:ext>
              </a:extLst>
            </xdr:cNvPr>
            <xdr:cNvGrpSpPr>
              <a:grpSpLocks/>
            </xdr:cNvGrpSpPr>
          </xdr:nvGrpSpPr>
          <xdr:grpSpPr bwMode="auto">
            <a:xfrm>
              <a:off x="0" y="3990975"/>
              <a:ext cx="304800" cy="1809750"/>
              <a:chOff x="0" y="334"/>
              <a:chExt cx="32" cy="194"/>
            </a:xfrm>
          </xdr:grpSpPr>
          <xdr:sp macro="" textlink="">
            <xdr:nvSpPr>
              <xdr:cNvPr id="101377" name="Check Box 1" hidden="1">
                <a:extLst>
                  <a:ext uri="{63B3BB69-23CF-44E3-9099-C40C66FF867C}">
                    <a14:compatExt spid="_x0000_s101377"/>
                  </a:ext>
                  <a:ext uri="{FF2B5EF4-FFF2-40B4-BE49-F238E27FC236}">
                    <a16:creationId xmlns:a16="http://schemas.microsoft.com/office/drawing/2014/main" id="{00000000-0008-0000-0400-0000018C0100}"/>
                  </a:ext>
                </a:extLst>
              </xdr:cNvPr>
              <xdr:cNvSpPr/>
            </xdr:nvSpPr>
            <xdr:spPr bwMode="auto">
              <a:xfrm>
                <a:off x="0" y="334"/>
                <a:ext cx="32" cy="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78" name="Check Box 2" hidden="1">
                <a:extLst>
                  <a:ext uri="{63B3BB69-23CF-44E3-9099-C40C66FF867C}">
                    <a14:compatExt spid="_x0000_s101378"/>
                  </a:ext>
                  <a:ext uri="{FF2B5EF4-FFF2-40B4-BE49-F238E27FC236}">
                    <a16:creationId xmlns:a16="http://schemas.microsoft.com/office/drawing/2014/main" id="{00000000-0008-0000-0400-0000028C0100}"/>
                  </a:ext>
                </a:extLst>
              </xdr:cNvPr>
              <xdr:cNvSpPr/>
            </xdr:nvSpPr>
            <xdr:spPr bwMode="auto">
              <a:xfrm>
                <a:off x="0" y="353"/>
                <a:ext cx="32" cy="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79" name="Check Box 3" hidden="1">
                <a:extLst>
                  <a:ext uri="{63B3BB69-23CF-44E3-9099-C40C66FF867C}">
                    <a14:compatExt spid="_x0000_s101379"/>
                  </a:ext>
                  <a:ext uri="{FF2B5EF4-FFF2-40B4-BE49-F238E27FC236}">
                    <a16:creationId xmlns:a16="http://schemas.microsoft.com/office/drawing/2014/main" id="{00000000-0008-0000-0400-0000038C0100}"/>
                  </a:ext>
                </a:extLst>
              </xdr:cNvPr>
              <xdr:cNvSpPr/>
            </xdr:nvSpPr>
            <xdr:spPr bwMode="auto">
              <a:xfrm>
                <a:off x="0" y="372"/>
                <a:ext cx="32" cy="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0" name="Check Box 4" hidden="1">
                <a:extLst>
                  <a:ext uri="{63B3BB69-23CF-44E3-9099-C40C66FF867C}">
                    <a14:compatExt spid="_x0000_s101380"/>
                  </a:ext>
                  <a:ext uri="{FF2B5EF4-FFF2-40B4-BE49-F238E27FC236}">
                    <a16:creationId xmlns:a16="http://schemas.microsoft.com/office/drawing/2014/main" id="{00000000-0008-0000-0400-0000048C0100}"/>
                  </a:ext>
                </a:extLst>
              </xdr:cNvPr>
              <xdr:cNvSpPr/>
            </xdr:nvSpPr>
            <xdr:spPr bwMode="auto">
              <a:xfrm>
                <a:off x="0" y="391"/>
                <a:ext cx="32"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9" name="Check Box 13" hidden="1">
                <a:extLst>
                  <a:ext uri="{63B3BB69-23CF-44E3-9099-C40C66FF867C}">
                    <a14:compatExt spid="_x0000_s101389"/>
                  </a:ext>
                  <a:ext uri="{FF2B5EF4-FFF2-40B4-BE49-F238E27FC236}">
                    <a16:creationId xmlns:a16="http://schemas.microsoft.com/office/drawing/2014/main" id="{00000000-0008-0000-0400-00000D8C0100}"/>
                  </a:ext>
                </a:extLst>
              </xdr:cNvPr>
              <xdr:cNvSpPr/>
            </xdr:nvSpPr>
            <xdr:spPr bwMode="auto">
              <a:xfrm>
                <a:off x="0" y="409"/>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90" name="Check Box 14" hidden="1">
                <a:extLst>
                  <a:ext uri="{63B3BB69-23CF-44E3-9099-C40C66FF867C}">
                    <a14:compatExt spid="_x0000_s101390"/>
                  </a:ext>
                  <a:ext uri="{FF2B5EF4-FFF2-40B4-BE49-F238E27FC236}">
                    <a16:creationId xmlns:a16="http://schemas.microsoft.com/office/drawing/2014/main" id="{00000000-0008-0000-0400-00000E8C0100}"/>
                  </a:ext>
                </a:extLst>
              </xdr:cNvPr>
              <xdr:cNvSpPr/>
            </xdr:nvSpPr>
            <xdr:spPr bwMode="auto">
              <a:xfrm>
                <a:off x="0" y="427"/>
                <a:ext cx="32" cy="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91" name="Check Box 15" hidden="1">
                <a:extLst>
                  <a:ext uri="{63B3BB69-23CF-44E3-9099-C40C66FF867C}">
                    <a14:compatExt spid="_x0000_s101391"/>
                  </a:ext>
                  <a:ext uri="{FF2B5EF4-FFF2-40B4-BE49-F238E27FC236}">
                    <a16:creationId xmlns:a16="http://schemas.microsoft.com/office/drawing/2014/main" id="{00000000-0008-0000-0400-00000F8C0100}"/>
                  </a:ext>
                </a:extLst>
              </xdr:cNvPr>
              <xdr:cNvSpPr/>
            </xdr:nvSpPr>
            <xdr:spPr bwMode="auto">
              <a:xfrm>
                <a:off x="0" y="447"/>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92" name="Check Box 16" hidden="1">
                <a:extLst>
                  <a:ext uri="{63B3BB69-23CF-44E3-9099-C40C66FF867C}">
                    <a14:compatExt spid="_x0000_s101392"/>
                  </a:ext>
                  <a:ext uri="{FF2B5EF4-FFF2-40B4-BE49-F238E27FC236}">
                    <a16:creationId xmlns:a16="http://schemas.microsoft.com/office/drawing/2014/main" id="{00000000-0008-0000-0400-0000108C0100}"/>
                  </a:ext>
                </a:extLst>
              </xdr:cNvPr>
              <xdr:cNvSpPr/>
            </xdr:nvSpPr>
            <xdr:spPr bwMode="auto">
              <a:xfrm>
                <a:off x="0" y="466"/>
                <a:ext cx="32"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93" name="Check Box 17" hidden="1">
                <a:extLst>
                  <a:ext uri="{63B3BB69-23CF-44E3-9099-C40C66FF867C}">
                    <a14:compatExt spid="_x0000_s101393"/>
                  </a:ext>
                  <a:ext uri="{FF2B5EF4-FFF2-40B4-BE49-F238E27FC236}">
                    <a16:creationId xmlns:a16="http://schemas.microsoft.com/office/drawing/2014/main" id="{00000000-0008-0000-0400-0000118C0100}"/>
                  </a:ext>
                </a:extLst>
              </xdr:cNvPr>
              <xdr:cNvSpPr/>
            </xdr:nvSpPr>
            <xdr:spPr bwMode="auto">
              <a:xfrm>
                <a:off x="0" y="484"/>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94" name="Check Box 18" hidden="1">
                <a:extLst>
                  <a:ext uri="{63B3BB69-23CF-44E3-9099-C40C66FF867C}">
                    <a14:compatExt spid="_x0000_s101394"/>
                  </a:ext>
                  <a:ext uri="{FF2B5EF4-FFF2-40B4-BE49-F238E27FC236}">
                    <a16:creationId xmlns:a16="http://schemas.microsoft.com/office/drawing/2014/main" id="{00000000-0008-0000-0400-0000128C0100}"/>
                  </a:ext>
                </a:extLst>
              </xdr:cNvPr>
              <xdr:cNvSpPr/>
            </xdr:nvSpPr>
            <xdr:spPr bwMode="auto">
              <a:xfrm>
                <a:off x="0" y="504"/>
                <a:ext cx="32"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21</xdr:row>
          <xdr:rowOff>161925</xdr:rowOff>
        </xdr:from>
        <xdr:to>
          <xdr:col>8</xdr:col>
          <xdr:colOff>104775</xdr:colOff>
          <xdr:row>32</xdr:row>
          <xdr:rowOff>9525</xdr:rowOff>
        </xdr:to>
        <xdr:grpSp>
          <xdr:nvGrpSpPr>
            <xdr:cNvPr id="123831" name="Group 162">
              <a:extLst>
                <a:ext uri="{FF2B5EF4-FFF2-40B4-BE49-F238E27FC236}">
                  <a16:creationId xmlns:a16="http://schemas.microsoft.com/office/drawing/2014/main" id="{00000000-0008-0000-0400-0000B7E30100}"/>
                </a:ext>
              </a:extLst>
            </xdr:cNvPr>
            <xdr:cNvGrpSpPr>
              <a:grpSpLocks/>
            </xdr:cNvGrpSpPr>
          </xdr:nvGrpSpPr>
          <xdr:grpSpPr bwMode="auto">
            <a:xfrm>
              <a:off x="1485900" y="3971925"/>
              <a:ext cx="314325" cy="1819275"/>
              <a:chOff x="156" y="332"/>
              <a:chExt cx="33" cy="195"/>
            </a:xfrm>
          </xdr:grpSpPr>
          <xdr:sp macro="" textlink="">
            <xdr:nvSpPr>
              <xdr:cNvPr id="101381" name="Check Box 5" hidden="1">
                <a:extLst>
                  <a:ext uri="{63B3BB69-23CF-44E3-9099-C40C66FF867C}">
                    <a14:compatExt spid="_x0000_s101381"/>
                  </a:ext>
                  <a:ext uri="{FF2B5EF4-FFF2-40B4-BE49-F238E27FC236}">
                    <a16:creationId xmlns:a16="http://schemas.microsoft.com/office/drawing/2014/main" id="{00000000-0008-0000-0400-0000058C0100}"/>
                  </a:ext>
                </a:extLst>
              </xdr:cNvPr>
              <xdr:cNvSpPr/>
            </xdr:nvSpPr>
            <xdr:spPr bwMode="auto">
              <a:xfrm>
                <a:off x="156" y="504"/>
                <a:ext cx="33"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2" name="Check Box 6" hidden="1">
                <a:extLst>
                  <a:ext uri="{63B3BB69-23CF-44E3-9099-C40C66FF867C}">
                    <a14:compatExt spid="_x0000_s101382"/>
                  </a:ext>
                  <a:ext uri="{FF2B5EF4-FFF2-40B4-BE49-F238E27FC236}">
                    <a16:creationId xmlns:a16="http://schemas.microsoft.com/office/drawing/2014/main" id="{00000000-0008-0000-0400-0000068C0100}"/>
                  </a:ext>
                </a:extLst>
              </xdr:cNvPr>
              <xdr:cNvSpPr/>
            </xdr:nvSpPr>
            <xdr:spPr bwMode="auto">
              <a:xfrm>
                <a:off x="156" y="390"/>
                <a:ext cx="33"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3" name="Check Box 7" hidden="1">
                <a:extLst>
                  <a:ext uri="{63B3BB69-23CF-44E3-9099-C40C66FF867C}">
                    <a14:compatExt spid="_x0000_s101383"/>
                  </a:ext>
                  <a:ext uri="{FF2B5EF4-FFF2-40B4-BE49-F238E27FC236}">
                    <a16:creationId xmlns:a16="http://schemas.microsoft.com/office/drawing/2014/main" id="{00000000-0008-0000-0400-0000078C0100}"/>
                  </a:ext>
                </a:extLst>
              </xdr:cNvPr>
              <xdr:cNvSpPr/>
            </xdr:nvSpPr>
            <xdr:spPr bwMode="auto">
              <a:xfrm>
                <a:off x="156" y="371"/>
                <a:ext cx="33" cy="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4" name="Check Box 8" hidden="1">
                <a:extLst>
                  <a:ext uri="{63B3BB69-23CF-44E3-9099-C40C66FF867C}">
                    <a14:compatExt spid="_x0000_s101384"/>
                  </a:ext>
                  <a:ext uri="{FF2B5EF4-FFF2-40B4-BE49-F238E27FC236}">
                    <a16:creationId xmlns:a16="http://schemas.microsoft.com/office/drawing/2014/main" id="{00000000-0008-0000-0400-0000088C0100}"/>
                  </a:ext>
                </a:extLst>
              </xdr:cNvPr>
              <xdr:cNvSpPr/>
            </xdr:nvSpPr>
            <xdr:spPr bwMode="auto">
              <a:xfrm>
                <a:off x="156" y="428"/>
                <a:ext cx="33"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5" name="Check Box 9" hidden="1">
                <a:extLst>
                  <a:ext uri="{63B3BB69-23CF-44E3-9099-C40C66FF867C}">
                    <a14:compatExt spid="_x0000_s101385"/>
                  </a:ext>
                  <a:ext uri="{FF2B5EF4-FFF2-40B4-BE49-F238E27FC236}">
                    <a16:creationId xmlns:a16="http://schemas.microsoft.com/office/drawing/2014/main" id="{00000000-0008-0000-0400-0000098C0100}"/>
                  </a:ext>
                </a:extLst>
              </xdr:cNvPr>
              <xdr:cNvSpPr/>
            </xdr:nvSpPr>
            <xdr:spPr bwMode="auto">
              <a:xfrm>
                <a:off x="156" y="409"/>
                <a:ext cx="33" cy="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6" name="Check Box 10" hidden="1">
                <a:extLst>
                  <a:ext uri="{63B3BB69-23CF-44E3-9099-C40C66FF867C}">
                    <a14:compatExt spid="_x0000_s101386"/>
                  </a:ext>
                  <a:ext uri="{FF2B5EF4-FFF2-40B4-BE49-F238E27FC236}">
                    <a16:creationId xmlns:a16="http://schemas.microsoft.com/office/drawing/2014/main" id="{00000000-0008-0000-0400-00000A8C0100}"/>
                  </a:ext>
                </a:extLst>
              </xdr:cNvPr>
              <xdr:cNvSpPr/>
            </xdr:nvSpPr>
            <xdr:spPr bwMode="auto">
              <a:xfrm>
                <a:off x="156" y="447"/>
                <a:ext cx="33"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7" name="Check Box 11" hidden="1">
                <a:extLst>
                  <a:ext uri="{63B3BB69-23CF-44E3-9099-C40C66FF867C}">
                    <a14:compatExt spid="_x0000_s101387"/>
                  </a:ext>
                  <a:ext uri="{FF2B5EF4-FFF2-40B4-BE49-F238E27FC236}">
                    <a16:creationId xmlns:a16="http://schemas.microsoft.com/office/drawing/2014/main" id="{00000000-0008-0000-0400-00000B8C0100}"/>
                  </a:ext>
                </a:extLst>
              </xdr:cNvPr>
              <xdr:cNvSpPr/>
            </xdr:nvSpPr>
            <xdr:spPr bwMode="auto">
              <a:xfrm>
                <a:off x="156" y="466"/>
                <a:ext cx="33"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88" name="Check Box 12" hidden="1">
                <a:extLst>
                  <a:ext uri="{63B3BB69-23CF-44E3-9099-C40C66FF867C}">
                    <a14:compatExt spid="_x0000_s101388"/>
                  </a:ext>
                  <a:ext uri="{FF2B5EF4-FFF2-40B4-BE49-F238E27FC236}">
                    <a16:creationId xmlns:a16="http://schemas.microsoft.com/office/drawing/2014/main" id="{00000000-0008-0000-0400-00000C8C0100}"/>
                  </a:ext>
                </a:extLst>
              </xdr:cNvPr>
              <xdr:cNvSpPr/>
            </xdr:nvSpPr>
            <xdr:spPr bwMode="auto">
              <a:xfrm>
                <a:off x="156" y="484"/>
                <a:ext cx="33" cy="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98" name="Check Box 22" hidden="1">
                <a:extLst>
                  <a:ext uri="{63B3BB69-23CF-44E3-9099-C40C66FF867C}">
                    <a14:compatExt spid="_x0000_s101398"/>
                  </a:ext>
                  <a:ext uri="{FF2B5EF4-FFF2-40B4-BE49-F238E27FC236}">
                    <a16:creationId xmlns:a16="http://schemas.microsoft.com/office/drawing/2014/main" id="{00000000-0008-0000-0400-0000168C0100}"/>
                  </a:ext>
                </a:extLst>
              </xdr:cNvPr>
              <xdr:cNvSpPr/>
            </xdr:nvSpPr>
            <xdr:spPr bwMode="auto">
              <a:xfrm>
                <a:off x="156" y="352"/>
                <a:ext cx="33" cy="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399" name="Check Box 23" hidden="1">
                <a:extLst>
                  <a:ext uri="{63B3BB69-23CF-44E3-9099-C40C66FF867C}">
                    <a14:compatExt spid="_x0000_s101399"/>
                  </a:ext>
                  <a:ext uri="{FF2B5EF4-FFF2-40B4-BE49-F238E27FC236}">
                    <a16:creationId xmlns:a16="http://schemas.microsoft.com/office/drawing/2014/main" id="{00000000-0008-0000-0400-0000178C0100}"/>
                  </a:ext>
                </a:extLst>
              </xdr:cNvPr>
              <xdr:cNvSpPr/>
            </xdr:nvSpPr>
            <xdr:spPr bwMode="auto">
              <a:xfrm>
                <a:off x="156" y="332"/>
                <a:ext cx="33" cy="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9525</xdr:colOff>
          <xdr:row>60</xdr:row>
          <xdr:rowOff>133350</xdr:rowOff>
        </xdr:from>
        <xdr:to>
          <xdr:col>1</xdr:col>
          <xdr:colOff>114300</xdr:colOff>
          <xdr:row>73</xdr:row>
          <xdr:rowOff>19050</xdr:rowOff>
        </xdr:to>
        <xdr:grpSp>
          <xdr:nvGrpSpPr>
            <xdr:cNvPr id="123832" name="Group 115">
              <a:extLst>
                <a:ext uri="{FF2B5EF4-FFF2-40B4-BE49-F238E27FC236}">
                  <a16:creationId xmlns:a16="http://schemas.microsoft.com/office/drawing/2014/main" id="{00000000-0008-0000-0400-0000B8E30100}"/>
                </a:ext>
              </a:extLst>
            </xdr:cNvPr>
            <xdr:cNvGrpSpPr>
              <a:grpSpLocks/>
            </xdr:cNvGrpSpPr>
          </xdr:nvGrpSpPr>
          <xdr:grpSpPr bwMode="auto">
            <a:xfrm>
              <a:off x="9525" y="10668000"/>
              <a:ext cx="333375" cy="2209800"/>
              <a:chOff x="0" y="1032"/>
              <a:chExt cx="32" cy="233"/>
            </a:xfrm>
          </xdr:grpSpPr>
          <xdr:sp macro="" textlink="">
            <xdr:nvSpPr>
              <xdr:cNvPr id="101475" name="Check Box 99" hidden="1">
                <a:extLst>
                  <a:ext uri="{63B3BB69-23CF-44E3-9099-C40C66FF867C}">
                    <a14:compatExt spid="_x0000_s101475"/>
                  </a:ext>
                  <a:ext uri="{FF2B5EF4-FFF2-40B4-BE49-F238E27FC236}">
                    <a16:creationId xmlns:a16="http://schemas.microsoft.com/office/drawing/2014/main" id="{00000000-0008-0000-0400-0000638C0100}"/>
                  </a:ext>
                </a:extLst>
              </xdr:cNvPr>
              <xdr:cNvSpPr/>
            </xdr:nvSpPr>
            <xdr:spPr bwMode="auto">
              <a:xfrm>
                <a:off x="0" y="1032"/>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76" name="Check Box 100" hidden="1">
                <a:extLst>
                  <a:ext uri="{63B3BB69-23CF-44E3-9099-C40C66FF867C}">
                    <a14:compatExt spid="_x0000_s101476"/>
                  </a:ext>
                  <a:ext uri="{FF2B5EF4-FFF2-40B4-BE49-F238E27FC236}">
                    <a16:creationId xmlns:a16="http://schemas.microsoft.com/office/drawing/2014/main" id="{00000000-0008-0000-0400-0000648C0100}"/>
                  </a:ext>
                </a:extLst>
              </xdr:cNvPr>
              <xdr:cNvSpPr/>
            </xdr:nvSpPr>
            <xdr:spPr bwMode="auto">
              <a:xfrm>
                <a:off x="0" y="1051"/>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77" name="Check Box 101" hidden="1">
                <a:extLst>
                  <a:ext uri="{63B3BB69-23CF-44E3-9099-C40C66FF867C}">
                    <a14:compatExt spid="_x0000_s101477"/>
                  </a:ext>
                  <a:ext uri="{FF2B5EF4-FFF2-40B4-BE49-F238E27FC236}">
                    <a16:creationId xmlns:a16="http://schemas.microsoft.com/office/drawing/2014/main" id="{00000000-0008-0000-0400-0000658C0100}"/>
                  </a:ext>
                </a:extLst>
              </xdr:cNvPr>
              <xdr:cNvSpPr/>
            </xdr:nvSpPr>
            <xdr:spPr bwMode="auto">
              <a:xfrm>
                <a:off x="0" y="1071"/>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78" name="Check Box 102" hidden="1">
                <a:extLst>
                  <a:ext uri="{63B3BB69-23CF-44E3-9099-C40C66FF867C}">
                    <a14:compatExt spid="_x0000_s101478"/>
                  </a:ext>
                  <a:ext uri="{FF2B5EF4-FFF2-40B4-BE49-F238E27FC236}">
                    <a16:creationId xmlns:a16="http://schemas.microsoft.com/office/drawing/2014/main" id="{00000000-0008-0000-0400-0000668C0100}"/>
                  </a:ext>
                </a:extLst>
              </xdr:cNvPr>
              <xdr:cNvSpPr/>
            </xdr:nvSpPr>
            <xdr:spPr bwMode="auto">
              <a:xfrm>
                <a:off x="0" y="1090"/>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80" name="Check Box 104" hidden="1">
                <a:extLst>
                  <a:ext uri="{63B3BB69-23CF-44E3-9099-C40C66FF867C}">
                    <a14:compatExt spid="_x0000_s101480"/>
                  </a:ext>
                  <a:ext uri="{FF2B5EF4-FFF2-40B4-BE49-F238E27FC236}">
                    <a16:creationId xmlns:a16="http://schemas.microsoft.com/office/drawing/2014/main" id="{00000000-0008-0000-0400-0000688C0100}"/>
                  </a:ext>
                </a:extLst>
              </xdr:cNvPr>
              <xdr:cNvSpPr/>
            </xdr:nvSpPr>
            <xdr:spPr bwMode="auto">
              <a:xfrm>
                <a:off x="0" y="1109"/>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82" name="Check Box 106" hidden="1">
                <a:extLst>
                  <a:ext uri="{63B3BB69-23CF-44E3-9099-C40C66FF867C}">
                    <a14:compatExt spid="_x0000_s101482"/>
                  </a:ext>
                  <a:ext uri="{FF2B5EF4-FFF2-40B4-BE49-F238E27FC236}">
                    <a16:creationId xmlns:a16="http://schemas.microsoft.com/office/drawing/2014/main" id="{00000000-0008-0000-0400-00006A8C0100}"/>
                  </a:ext>
                </a:extLst>
              </xdr:cNvPr>
              <xdr:cNvSpPr/>
            </xdr:nvSpPr>
            <xdr:spPr bwMode="auto">
              <a:xfrm>
                <a:off x="0" y="1128"/>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84" name="Check Box 108" hidden="1">
                <a:extLst>
                  <a:ext uri="{63B3BB69-23CF-44E3-9099-C40C66FF867C}">
                    <a14:compatExt spid="_x0000_s101484"/>
                  </a:ext>
                  <a:ext uri="{FF2B5EF4-FFF2-40B4-BE49-F238E27FC236}">
                    <a16:creationId xmlns:a16="http://schemas.microsoft.com/office/drawing/2014/main" id="{00000000-0008-0000-0400-00006C8C0100}"/>
                  </a:ext>
                </a:extLst>
              </xdr:cNvPr>
              <xdr:cNvSpPr/>
            </xdr:nvSpPr>
            <xdr:spPr bwMode="auto">
              <a:xfrm>
                <a:off x="0" y="1147"/>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86" name="Check Box 110" hidden="1">
                <a:extLst>
                  <a:ext uri="{63B3BB69-23CF-44E3-9099-C40C66FF867C}">
                    <a14:compatExt spid="_x0000_s101486"/>
                  </a:ext>
                  <a:ext uri="{FF2B5EF4-FFF2-40B4-BE49-F238E27FC236}">
                    <a16:creationId xmlns:a16="http://schemas.microsoft.com/office/drawing/2014/main" id="{00000000-0008-0000-0400-00006E8C0100}"/>
                  </a:ext>
                </a:extLst>
              </xdr:cNvPr>
              <xdr:cNvSpPr/>
            </xdr:nvSpPr>
            <xdr:spPr bwMode="auto">
              <a:xfrm>
                <a:off x="0" y="1166"/>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88" name="Check Box 112" hidden="1">
                <a:extLst>
                  <a:ext uri="{63B3BB69-23CF-44E3-9099-C40C66FF867C}">
                    <a14:compatExt spid="_x0000_s101488"/>
                  </a:ext>
                  <a:ext uri="{FF2B5EF4-FFF2-40B4-BE49-F238E27FC236}">
                    <a16:creationId xmlns:a16="http://schemas.microsoft.com/office/drawing/2014/main" id="{00000000-0008-0000-0400-0000708C0100}"/>
                  </a:ext>
                </a:extLst>
              </xdr:cNvPr>
              <xdr:cNvSpPr/>
            </xdr:nvSpPr>
            <xdr:spPr bwMode="auto">
              <a:xfrm>
                <a:off x="0" y="1184"/>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89" name="Check Box 113" hidden="1">
                <a:extLst>
                  <a:ext uri="{63B3BB69-23CF-44E3-9099-C40C66FF867C}">
                    <a14:compatExt spid="_x0000_s101489"/>
                  </a:ext>
                  <a:ext uri="{FF2B5EF4-FFF2-40B4-BE49-F238E27FC236}">
                    <a16:creationId xmlns:a16="http://schemas.microsoft.com/office/drawing/2014/main" id="{00000000-0008-0000-0400-0000718C0100}"/>
                  </a:ext>
                </a:extLst>
              </xdr:cNvPr>
              <xdr:cNvSpPr/>
            </xdr:nvSpPr>
            <xdr:spPr bwMode="auto">
              <a:xfrm>
                <a:off x="0" y="1223"/>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90" name="Check Box 114" hidden="1">
                <a:extLst>
                  <a:ext uri="{63B3BB69-23CF-44E3-9099-C40C66FF867C}">
                    <a14:compatExt spid="_x0000_s101490"/>
                  </a:ext>
                  <a:ext uri="{FF2B5EF4-FFF2-40B4-BE49-F238E27FC236}">
                    <a16:creationId xmlns:a16="http://schemas.microsoft.com/office/drawing/2014/main" id="{00000000-0008-0000-0400-0000728C0100}"/>
                  </a:ext>
                </a:extLst>
              </xdr:cNvPr>
              <xdr:cNvSpPr/>
            </xdr:nvSpPr>
            <xdr:spPr bwMode="auto">
              <a:xfrm>
                <a:off x="0" y="1242"/>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60</xdr:row>
          <xdr:rowOff>133350</xdr:rowOff>
        </xdr:from>
        <xdr:to>
          <xdr:col>8</xdr:col>
          <xdr:colOff>95250</xdr:colOff>
          <xdr:row>70</xdr:row>
          <xdr:rowOff>9525</xdr:rowOff>
        </xdr:to>
        <xdr:grpSp>
          <xdr:nvGrpSpPr>
            <xdr:cNvPr id="123833" name="Group 128">
              <a:extLst>
                <a:ext uri="{FF2B5EF4-FFF2-40B4-BE49-F238E27FC236}">
                  <a16:creationId xmlns:a16="http://schemas.microsoft.com/office/drawing/2014/main" id="{00000000-0008-0000-0400-0000B9E30100}"/>
                </a:ext>
              </a:extLst>
            </xdr:cNvPr>
            <xdr:cNvGrpSpPr>
              <a:grpSpLocks/>
            </xdr:cNvGrpSpPr>
          </xdr:nvGrpSpPr>
          <xdr:grpSpPr bwMode="auto">
            <a:xfrm>
              <a:off x="1485900" y="10668000"/>
              <a:ext cx="304800" cy="1657350"/>
              <a:chOff x="156" y="1032"/>
              <a:chExt cx="32" cy="175"/>
            </a:xfrm>
          </xdr:grpSpPr>
          <xdr:sp macro="" textlink="">
            <xdr:nvSpPr>
              <xdr:cNvPr id="101493" name="Check Box 117" hidden="1">
                <a:extLst>
                  <a:ext uri="{63B3BB69-23CF-44E3-9099-C40C66FF867C}">
                    <a14:compatExt spid="_x0000_s101493"/>
                  </a:ext>
                  <a:ext uri="{FF2B5EF4-FFF2-40B4-BE49-F238E27FC236}">
                    <a16:creationId xmlns:a16="http://schemas.microsoft.com/office/drawing/2014/main" id="{00000000-0008-0000-0400-0000758C0100}"/>
                  </a:ext>
                </a:extLst>
              </xdr:cNvPr>
              <xdr:cNvSpPr/>
            </xdr:nvSpPr>
            <xdr:spPr bwMode="auto">
              <a:xfrm>
                <a:off x="156" y="1032"/>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94" name="Check Box 118" hidden="1">
                <a:extLst>
                  <a:ext uri="{63B3BB69-23CF-44E3-9099-C40C66FF867C}">
                    <a14:compatExt spid="_x0000_s101494"/>
                  </a:ext>
                  <a:ext uri="{FF2B5EF4-FFF2-40B4-BE49-F238E27FC236}">
                    <a16:creationId xmlns:a16="http://schemas.microsoft.com/office/drawing/2014/main" id="{00000000-0008-0000-0400-0000768C0100}"/>
                  </a:ext>
                </a:extLst>
              </xdr:cNvPr>
              <xdr:cNvSpPr/>
            </xdr:nvSpPr>
            <xdr:spPr bwMode="auto">
              <a:xfrm>
                <a:off x="156" y="1051"/>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95" name="Check Box 119" hidden="1">
                <a:extLst>
                  <a:ext uri="{63B3BB69-23CF-44E3-9099-C40C66FF867C}">
                    <a14:compatExt spid="_x0000_s101495"/>
                  </a:ext>
                  <a:ext uri="{FF2B5EF4-FFF2-40B4-BE49-F238E27FC236}">
                    <a16:creationId xmlns:a16="http://schemas.microsoft.com/office/drawing/2014/main" id="{00000000-0008-0000-0400-0000778C0100}"/>
                  </a:ext>
                </a:extLst>
              </xdr:cNvPr>
              <xdr:cNvSpPr/>
            </xdr:nvSpPr>
            <xdr:spPr bwMode="auto">
              <a:xfrm>
                <a:off x="156" y="1071"/>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96" name="Check Box 120" hidden="1">
                <a:extLst>
                  <a:ext uri="{63B3BB69-23CF-44E3-9099-C40C66FF867C}">
                    <a14:compatExt spid="_x0000_s101496"/>
                  </a:ext>
                  <a:ext uri="{FF2B5EF4-FFF2-40B4-BE49-F238E27FC236}">
                    <a16:creationId xmlns:a16="http://schemas.microsoft.com/office/drawing/2014/main" id="{00000000-0008-0000-0400-0000788C0100}"/>
                  </a:ext>
                </a:extLst>
              </xdr:cNvPr>
              <xdr:cNvSpPr/>
            </xdr:nvSpPr>
            <xdr:spPr bwMode="auto">
              <a:xfrm>
                <a:off x="156" y="1090"/>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97" name="Check Box 121" hidden="1">
                <a:extLst>
                  <a:ext uri="{63B3BB69-23CF-44E3-9099-C40C66FF867C}">
                    <a14:compatExt spid="_x0000_s101497"/>
                  </a:ext>
                  <a:ext uri="{FF2B5EF4-FFF2-40B4-BE49-F238E27FC236}">
                    <a16:creationId xmlns:a16="http://schemas.microsoft.com/office/drawing/2014/main" id="{00000000-0008-0000-0400-0000798C0100}"/>
                  </a:ext>
                </a:extLst>
              </xdr:cNvPr>
              <xdr:cNvSpPr/>
            </xdr:nvSpPr>
            <xdr:spPr bwMode="auto">
              <a:xfrm>
                <a:off x="156" y="1109"/>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98" name="Check Box 122" hidden="1">
                <a:extLst>
                  <a:ext uri="{63B3BB69-23CF-44E3-9099-C40C66FF867C}">
                    <a14:compatExt spid="_x0000_s101498"/>
                  </a:ext>
                  <a:ext uri="{FF2B5EF4-FFF2-40B4-BE49-F238E27FC236}">
                    <a16:creationId xmlns:a16="http://schemas.microsoft.com/office/drawing/2014/main" id="{00000000-0008-0000-0400-00007A8C0100}"/>
                  </a:ext>
                </a:extLst>
              </xdr:cNvPr>
              <xdr:cNvSpPr/>
            </xdr:nvSpPr>
            <xdr:spPr bwMode="auto">
              <a:xfrm>
                <a:off x="156" y="1128"/>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499" name="Check Box 123" hidden="1">
                <a:extLst>
                  <a:ext uri="{63B3BB69-23CF-44E3-9099-C40C66FF867C}">
                    <a14:compatExt spid="_x0000_s101499"/>
                  </a:ext>
                  <a:ext uri="{FF2B5EF4-FFF2-40B4-BE49-F238E27FC236}">
                    <a16:creationId xmlns:a16="http://schemas.microsoft.com/office/drawing/2014/main" id="{00000000-0008-0000-0400-00007B8C0100}"/>
                  </a:ext>
                </a:extLst>
              </xdr:cNvPr>
              <xdr:cNvSpPr/>
            </xdr:nvSpPr>
            <xdr:spPr bwMode="auto">
              <a:xfrm>
                <a:off x="156" y="1147"/>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500" name="Check Box 124" hidden="1">
                <a:extLst>
                  <a:ext uri="{63B3BB69-23CF-44E3-9099-C40C66FF867C}">
                    <a14:compatExt spid="_x0000_s101500"/>
                  </a:ext>
                  <a:ext uri="{FF2B5EF4-FFF2-40B4-BE49-F238E27FC236}">
                    <a16:creationId xmlns:a16="http://schemas.microsoft.com/office/drawing/2014/main" id="{00000000-0008-0000-0400-00007C8C0100}"/>
                  </a:ext>
                </a:extLst>
              </xdr:cNvPr>
              <xdr:cNvSpPr/>
            </xdr:nvSpPr>
            <xdr:spPr bwMode="auto">
              <a:xfrm>
                <a:off x="156" y="1166"/>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501" name="Check Box 125" hidden="1">
                <a:extLst>
                  <a:ext uri="{63B3BB69-23CF-44E3-9099-C40C66FF867C}">
                    <a14:compatExt spid="_x0000_s101501"/>
                  </a:ext>
                  <a:ext uri="{FF2B5EF4-FFF2-40B4-BE49-F238E27FC236}">
                    <a16:creationId xmlns:a16="http://schemas.microsoft.com/office/drawing/2014/main" id="{00000000-0008-0000-0400-00007D8C0100}"/>
                  </a:ext>
                </a:extLst>
              </xdr:cNvPr>
              <xdr:cNvSpPr/>
            </xdr:nvSpPr>
            <xdr:spPr bwMode="auto">
              <a:xfrm>
                <a:off x="156" y="1184"/>
                <a:ext cx="32"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13</xdr:col>
          <xdr:colOff>190500</xdr:colOff>
          <xdr:row>60</xdr:row>
          <xdr:rowOff>152400</xdr:rowOff>
        </xdr:from>
        <xdr:to>
          <xdr:col>15</xdr:col>
          <xdr:colOff>123825</xdr:colOff>
          <xdr:row>63</xdr:row>
          <xdr:rowOff>0</xdr:rowOff>
        </xdr:to>
        <xdr:grpSp>
          <xdr:nvGrpSpPr>
            <xdr:cNvPr id="123834" name="Group 213">
              <a:extLst>
                <a:ext uri="{FF2B5EF4-FFF2-40B4-BE49-F238E27FC236}">
                  <a16:creationId xmlns:a16="http://schemas.microsoft.com/office/drawing/2014/main" id="{00000000-0008-0000-0400-0000BAE30100}"/>
                </a:ext>
              </a:extLst>
            </xdr:cNvPr>
            <xdr:cNvGrpSpPr>
              <a:grpSpLocks/>
            </xdr:cNvGrpSpPr>
          </xdr:nvGrpSpPr>
          <xdr:grpSpPr bwMode="auto">
            <a:xfrm>
              <a:off x="2857500" y="10687050"/>
              <a:ext cx="333375" cy="361950"/>
              <a:chOff x="299" y="1086"/>
              <a:chExt cx="35" cy="41"/>
            </a:xfrm>
          </xdr:grpSpPr>
          <xdr:sp macro="" textlink="">
            <xdr:nvSpPr>
              <xdr:cNvPr id="101506" name="Check Box 130" hidden="1">
                <a:extLst>
                  <a:ext uri="{63B3BB69-23CF-44E3-9099-C40C66FF867C}">
                    <a14:compatExt spid="_x0000_s101506"/>
                  </a:ext>
                  <a:ext uri="{FF2B5EF4-FFF2-40B4-BE49-F238E27FC236}">
                    <a16:creationId xmlns:a16="http://schemas.microsoft.com/office/drawing/2014/main" id="{00000000-0008-0000-0400-0000828C0100}"/>
                  </a:ext>
                </a:extLst>
              </xdr:cNvPr>
              <xdr:cNvSpPr/>
            </xdr:nvSpPr>
            <xdr:spPr bwMode="auto">
              <a:xfrm>
                <a:off x="299" y="1086"/>
                <a:ext cx="3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507" name="Check Box 131" hidden="1">
                <a:extLst>
                  <a:ext uri="{63B3BB69-23CF-44E3-9099-C40C66FF867C}">
                    <a14:compatExt spid="_x0000_s101507"/>
                  </a:ext>
                  <a:ext uri="{FF2B5EF4-FFF2-40B4-BE49-F238E27FC236}">
                    <a16:creationId xmlns:a16="http://schemas.microsoft.com/office/drawing/2014/main" id="{00000000-0008-0000-0400-0000838C0100}"/>
                  </a:ext>
                </a:extLst>
              </xdr:cNvPr>
              <xdr:cNvSpPr/>
            </xdr:nvSpPr>
            <xdr:spPr bwMode="auto">
              <a:xfrm>
                <a:off x="299" y="1105"/>
                <a:ext cx="35" cy="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60</xdr:row>
          <xdr:rowOff>133350</xdr:rowOff>
        </xdr:from>
        <xdr:to>
          <xdr:col>24</xdr:col>
          <xdr:colOff>133350</xdr:colOff>
          <xdr:row>64</xdr:row>
          <xdr:rowOff>9525</xdr:rowOff>
        </xdr:to>
        <xdr:grpSp>
          <xdr:nvGrpSpPr>
            <xdr:cNvPr id="123835" name="Group 160">
              <a:extLst>
                <a:ext uri="{FF2B5EF4-FFF2-40B4-BE49-F238E27FC236}">
                  <a16:creationId xmlns:a16="http://schemas.microsoft.com/office/drawing/2014/main" id="{00000000-0008-0000-0400-0000BBE30100}"/>
                </a:ext>
              </a:extLst>
            </xdr:cNvPr>
            <xdr:cNvGrpSpPr>
              <a:grpSpLocks/>
            </xdr:cNvGrpSpPr>
          </xdr:nvGrpSpPr>
          <xdr:grpSpPr bwMode="auto">
            <a:xfrm>
              <a:off x="4638675" y="10668000"/>
              <a:ext cx="333375" cy="571500"/>
              <a:chOff x="487" y="1032"/>
              <a:chExt cx="35" cy="61"/>
            </a:xfrm>
          </xdr:grpSpPr>
          <xdr:sp macro="" textlink="">
            <xdr:nvSpPr>
              <xdr:cNvPr id="101525" name="Check Box 149" hidden="1">
                <a:extLst>
                  <a:ext uri="{63B3BB69-23CF-44E3-9099-C40C66FF867C}">
                    <a14:compatExt spid="_x0000_s101525"/>
                  </a:ext>
                  <a:ext uri="{FF2B5EF4-FFF2-40B4-BE49-F238E27FC236}">
                    <a16:creationId xmlns:a16="http://schemas.microsoft.com/office/drawing/2014/main" id="{00000000-0008-0000-0400-0000958C0100}"/>
                  </a:ext>
                </a:extLst>
              </xdr:cNvPr>
              <xdr:cNvSpPr/>
            </xdr:nvSpPr>
            <xdr:spPr bwMode="auto">
              <a:xfrm>
                <a:off x="487" y="1032"/>
                <a:ext cx="3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526" name="Check Box 150" hidden="1">
                <a:extLst>
                  <a:ext uri="{63B3BB69-23CF-44E3-9099-C40C66FF867C}">
                    <a14:compatExt spid="_x0000_s101526"/>
                  </a:ext>
                  <a:ext uri="{FF2B5EF4-FFF2-40B4-BE49-F238E27FC236}">
                    <a16:creationId xmlns:a16="http://schemas.microsoft.com/office/drawing/2014/main" id="{00000000-0008-0000-0400-0000968C0100}"/>
                  </a:ext>
                </a:extLst>
              </xdr:cNvPr>
              <xdr:cNvSpPr/>
            </xdr:nvSpPr>
            <xdr:spPr bwMode="auto">
              <a:xfrm>
                <a:off x="487" y="1051"/>
                <a:ext cx="3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527" name="Check Box 151" hidden="1">
                <a:extLst>
                  <a:ext uri="{63B3BB69-23CF-44E3-9099-C40C66FF867C}">
                    <a14:compatExt spid="_x0000_s101527"/>
                  </a:ext>
                  <a:ext uri="{FF2B5EF4-FFF2-40B4-BE49-F238E27FC236}">
                    <a16:creationId xmlns:a16="http://schemas.microsoft.com/office/drawing/2014/main" id="{00000000-0008-0000-0400-0000978C0100}"/>
                  </a:ext>
                </a:extLst>
              </xdr:cNvPr>
              <xdr:cNvSpPr/>
            </xdr:nvSpPr>
            <xdr:spPr bwMode="auto">
              <a:xfrm>
                <a:off x="487" y="1070"/>
                <a:ext cx="3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13</xdr:col>
          <xdr:colOff>190500</xdr:colOff>
          <xdr:row>64</xdr:row>
          <xdr:rowOff>152400</xdr:rowOff>
        </xdr:from>
        <xdr:to>
          <xdr:col>15</xdr:col>
          <xdr:colOff>123825</xdr:colOff>
          <xdr:row>76</xdr:row>
          <xdr:rowOff>28575</xdr:rowOff>
        </xdr:to>
        <xdr:grpSp>
          <xdr:nvGrpSpPr>
            <xdr:cNvPr id="123836" name="Group 216">
              <a:extLst>
                <a:ext uri="{FF2B5EF4-FFF2-40B4-BE49-F238E27FC236}">
                  <a16:creationId xmlns:a16="http://schemas.microsoft.com/office/drawing/2014/main" id="{00000000-0008-0000-0400-0000BCE30100}"/>
                </a:ext>
              </a:extLst>
            </xdr:cNvPr>
            <xdr:cNvGrpSpPr>
              <a:grpSpLocks/>
            </xdr:cNvGrpSpPr>
          </xdr:nvGrpSpPr>
          <xdr:grpSpPr bwMode="auto">
            <a:xfrm>
              <a:off x="2857500" y="11382375"/>
              <a:ext cx="333375" cy="2009775"/>
              <a:chOff x="299" y="1162"/>
              <a:chExt cx="35" cy="209"/>
            </a:xfrm>
          </xdr:grpSpPr>
          <xdr:sp macro="" textlink="">
            <xdr:nvSpPr>
              <xdr:cNvPr id="101511" name="Check Box 135" hidden="1">
                <a:extLst>
                  <a:ext uri="{63B3BB69-23CF-44E3-9099-C40C66FF867C}">
                    <a14:compatExt spid="_x0000_s101511"/>
                  </a:ext>
                  <a:ext uri="{FF2B5EF4-FFF2-40B4-BE49-F238E27FC236}">
                    <a16:creationId xmlns:a16="http://schemas.microsoft.com/office/drawing/2014/main" id="{00000000-0008-0000-0400-0000878C0100}"/>
                  </a:ext>
                </a:extLst>
              </xdr:cNvPr>
              <xdr:cNvSpPr/>
            </xdr:nvSpPr>
            <xdr:spPr bwMode="auto">
              <a:xfrm>
                <a:off x="299" y="1181"/>
                <a:ext cx="35" cy="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514" name="Check Box 138" hidden="1">
                <a:extLst>
                  <a:ext uri="{63B3BB69-23CF-44E3-9099-C40C66FF867C}">
                    <a14:compatExt spid="_x0000_s101514"/>
                  </a:ext>
                  <a:ext uri="{FF2B5EF4-FFF2-40B4-BE49-F238E27FC236}">
                    <a16:creationId xmlns:a16="http://schemas.microsoft.com/office/drawing/2014/main" id="{00000000-0008-0000-0400-00008A8C0100}"/>
                  </a:ext>
                </a:extLst>
              </xdr:cNvPr>
              <xdr:cNvSpPr/>
            </xdr:nvSpPr>
            <xdr:spPr bwMode="auto">
              <a:xfrm>
                <a:off x="299" y="1238"/>
                <a:ext cx="3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1568" name="SD_1x1_93x1_62_S_0" hidden="1">
                <a:extLst>
                  <a:ext uri="{63B3BB69-23CF-44E3-9099-C40C66FF867C}">
                    <a14:compatExt spid="_x0000_s101568"/>
                  </a:ext>
                  <a:ext uri="{FF2B5EF4-FFF2-40B4-BE49-F238E27FC236}">
                    <a16:creationId xmlns:a16="http://schemas.microsoft.com/office/drawing/2014/main" id="{00000000-0008-0000-0400-0000C08C0100}"/>
                  </a:ext>
                </a:extLst>
              </xdr:cNvPr>
              <xdr:cNvSpPr/>
            </xdr:nvSpPr>
            <xdr:spPr bwMode="auto">
              <a:xfrm>
                <a:off x="299" y="1162"/>
                <a:ext cx="31" cy="22"/>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sp macro="" textlink="">
            <xdr:nvSpPr>
              <xdr:cNvPr id="101570" name="SD_1x1_93x1_69_S_0" hidden="1">
                <a:extLst>
                  <a:ext uri="{63B3BB69-23CF-44E3-9099-C40C66FF867C}">
                    <a14:compatExt spid="_x0000_s101570"/>
                  </a:ext>
                  <a:ext uri="{FF2B5EF4-FFF2-40B4-BE49-F238E27FC236}">
                    <a16:creationId xmlns:a16="http://schemas.microsoft.com/office/drawing/2014/main" id="{00000000-0008-0000-0400-0000C28C0100}"/>
                  </a:ext>
                </a:extLst>
              </xdr:cNvPr>
              <xdr:cNvSpPr/>
            </xdr:nvSpPr>
            <xdr:spPr bwMode="auto">
              <a:xfrm>
                <a:off x="299" y="1200"/>
                <a:ext cx="31" cy="22"/>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sp macro="" textlink="">
            <xdr:nvSpPr>
              <xdr:cNvPr id="101574" name="SD_1x1_93x1_65_S_0" hidden="1">
                <a:extLst>
                  <a:ext uri="{63B3BB69-23CF-44E3-9099-C40C66FF867C}">
                    <a14:compatExt spid="_x0000_s101574"/>
                  </a:ext>
                  <a:ext uri="{FF2B5EF4-FFF2-40B4-BE49-F238E27FC236}">
                    <a16:creationId xmlns:a16="http://schemas.microsoft.com/office/drawing/2014/main" id="{00000000-0008-0000-0400-0000C68C0100}"/>
                  </a:ext>
                </a:extLst>
              </xdr:cNvPr>
              <xdr:cNvSpPr/>
            </xdr:nvSpPr>
            <xdr:spPr bwMode="auto">
              <a:xfrm>
                <a:off x="299" y="1257"/>
                <a:ext cx="31" cy="22"/>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sp macro="" textlink="">
            <xdr:nvSpPr>
              <xdr:cNvPr id="101576" name="SD_1x1_93x1_66_S_0" hidden="1">
                <a:extLst>
                  <a:ext uri="{63B3BB69-23CF-44E3-9099-C40C66FF867C}">
                    <a14:compatExt spid="_x0000_s101576"/>
                  </a:ext>
                  <a:ext uri="{FF2B5EF4-FFF2-40B4-BE49-F238E27FC236}">
                    <a16:creationId xmlns:a16="http://schemas.microsoft.com/office/drawing/2014/main" id="{00000000-0008-0000-0400-0000C88C0100}"/>
                  </a:ext>
                </a:extLst>
              </xdr:cNvPr>
              <xdr:cNvSpPr/>
            </xdr:nvSpPr>
            <xdr:spPr bwMode="auto">
              <a:xfrm>
                <a:off x="299" y="1276"/>
                <a:ext cx="31" cy="22"/>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sp macro="" textlink="">
            <xdr:nvSpPr>
              <xdr:cNvPr id="101578" name="SD_1x1_93x1_68_S_0" hidden="1">
                <a:extLst>
                  <a:ext uri="{63B3BB69-23CF-44E3-9099-C40C66FF867C}">
                    <a14:compatExt spid="_x0000_s101578"/>
                  </a:ext>
                  <a:ext uri="{FF2B5EF4-FFF2-40B4-BE49-F238E27FC236}">
                    <a16:creationId xmlns:a16="http://schemas.microsoft.com/office/drawing/2014/main" id="{00000000-0008-0000-0400-0000CA8C0100}"/>
                  </a:ext>
                </a:extLst>
              </xdr:cNvPr>
              <xdr:cNvSpPr/>
            </xdr:nvSpPr>
            <xdr:spPr bwMode="auto">
              <a:xfrm>
                <a:off x="299" y="1295"/>
                <a:ext cx="32" cy="23"/>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sp macro="" textlink="">
            <xdr:nvSpPr>
              <xdr:cNvPr id="101580" name="SD_1x1_93x1_67_S_0" hidden="1">
                <a:extLst>
                  <a:ext uri="{63B3BB69-23CF-44E3-9099-C40C66FF867C}">
                    <a14:compatExt spid="_x0000_s101580"/>
                  </a:ext>
                  <a:ext uri="{FF2B5EF4-FFF2-40B4-BE49-F238E27FC236}">
                    <a16:creationId xmlns:a16="http://schemas.microsoft.com/office/drawing/2014/main" id="{00000000-0008-0000-0400-0000CC8C0100}"/>
                  </a:ext>
                </a:extLst>
              </xdr:cNvPr>
              <xdr:cNvSpPr/>
            </xdr:nvSpPr>
            <xdr:spPr bwMode="auto">
              <a:xfrm>
                <a:off x="299" y="1314"/>
                <a:ext cx="31" cy="22"/>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sp macro="" textlink="">
            <xdr:nvSpPr>
              <xdr:cNvPr id="101582" name="SD_1x1_93x1_63_S_0" hidden="1">
                <a:extLst>
                  <a:ext uri="{63B3BB69-23CF-44E3-9099-C40C66FF867C}">
                    <a14:compatExt spid="_x0000_s101582"/>
                  </a:ext>
                  <a:ext uri="{FF2B5EF4-FFF2-40B4-BE49-F238E27FC236}">
                    <a16:creationId xmlns:a16="http://schemas.microsoft.com/office/drawing/2014/main" id="{00000000-0008-0000-0400-0000CE8C0100}"/>
                  </a:ext>
                </a:extLst>
              </xdr:cNvPr>
              <xdr:cNvSpPr/>
            </xdr:nvSpPr>
            <xdr:spPr bwMode="auto">
              <a:xfrm>
                <a:off x="299" y="1330"/>
                <a:ext cx="32" cy="23"/>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sp macro="" textlink="">
            <xdr:nvSpPr>
              <xdr:cNvPr id="101584" name="SD_1x1_93x1_64_S_0" hidden="1">
                <a:extLst>
                  <a:ext uri="{63B3BB69-23CF-44E3-9099-C40C66FF867C}">
                    <a14:compatExt spid="_x0000_s101584"/>
                  </a:ext>
                  <a:ext uri="{FF2B5EF4-FFF2-40B4-BE49-F238E27FC236}">
                    <a16:creationId xmlns:a16="http://schemas.microsoft.com/office/drawing/2014/main" id="{00000000-0008-0000-0400-0000D08C0100}"/>
                  </a:ext>
                </a:extLst>
              </xdr:cNvPr>
              <xdr:cNvSpPr/>
            </xdr:nvSpPr>
            <xdr:spPr bwMode="auto">
              <a:xfrm>
                <a:off x="299" y="1348"/>
                <a:ext cx="32" cy="23"/>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sp macro="" textlink="">
            <xdr:nvSpPr>
              <xdr:cNvPr id="101591" name="SD_1x1_93x1_117x1_15_S_0" hidden="1">
                <a:extLst>
                  <a:ext uri="{63B3BB69-23CF-44E3-9099-C40C66FF867C}">
                    <a14:compatExt spid="_x0000_s101591"/>
                  </a:ext>
                  <a:ext uri="{FF2B5EF4-FFF2-40B4-BE49-F238E27FC236}">
                    <a16:creationId xmlns:a16="http://schemas.microsoft.com/office/drawing/2014/main" id="{00000000-0008-0000-0400-0000D78C0100}"/>
                  </a:ext>
                </a:extLst>
              </xdr:cNvPr>
              <xdr:cNvSpPr/>
            </xdr:nvSpPr>
            <xdr:spPr bwMode="auto">
              <a:xfrm>
                <a:off x="299" y="1220"/>
                <a:ext cx="31" cy="22"/>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grp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49</xdr:row>
          <xdr:rowOff>133350</xdr:rowOff>
        </xdr:from>
        <xdr:to>
          <xdr:col>1</xdr:col>
          <xdr:colOff>114300</xdr:colOff>
          <xdr:row>51</xdr:row>
          <xdr:rowOff>28575</xdr:rowOff>
        </xdr:to>
        <xdr:sp macro="" textlink="">
          <xdr:nvSpPr>
            <xdr:cNvPr id="19603" name="Check Box 147" hidden="1">
              <a:extLst>
                <a:ext uri="{63B3BB69-23CF-44E3-9099-C40C66FF867C}">
                  <a14:compatExt spid="_x0000_s19603"/>
                </a:ext>
                <a:ext uri="{FF2B5EF4-FFF2-40B4-BE49-F238E27FC236}">
                  <a16:creationId xmlns:a16="http://schemas.microsoft.com/office/drawing/2014/main" id="{00000000-0008-0000-0500-00009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51</xdr:row>
          <xdr:rowOff>133350</xdr:rowOff>
        </xdr:from>
        <xdr:to>
          <xdr:col>1</xdr:col>
          <xdr:colOff>114300</xdr:colOff>
          <xdr:row>53</xdr:row>
          <xdr:rowOff>19050</xdr:rowOff>
        </xdr:to>
        <xdr:sp macro="" textlink="">
          <xdr:nvSpPr>
            <xdr:cNvPr id="19604" name="Check Box 148" hidden="1">
              <a:extLst>
                <a:ext uri="{63B3BB69-23CF-44E3-9099-C40C66FF867C}">
                  <a14:compatExt spid="_x0000_s19604"/>
                </a:ext>
                <a:ext uri="{FF2B5EF4-FFF2-40B4-BE49-F238E27FC236}">
                  <a16:creationId xmlns:a16="http://schemas.microsoft.com/office/drawing/2014/main" id="{00000000-0008-0000-0500-00009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51</xdr:row>
          <xdr:rowOff>133350</xdr:rowOff>
        </xdr:from>
        <xdr:to>
          <xdr:col>6</xdr:col>
          <xdr:colOff>104775</xdr:colOff>
          <xdr:row>53</xdr:row>
          <xdr:rowOff>19050</xdr:rowOff>
        </xdr:to>
        <xdr:sp macro="" textlink="">
          <xdr:nvSpPr>
            <xdr:cNvPr id="19605" name="Check Box 149" hidden="1">
              <a:extLst>
                <a:ext uri="{63B3BB69-23CF-44E3-9099-C40C66FF867C}">
                  <a14:compatExt spid="_x0000_s19605"/>
                </a:ext>
                <a:ext uri="{FF2B5EF4-FFF2-40B4-BE49-F238E27FC236}">
                  <a16:creationId xmlns:a16="http://schemas.microsoft.com/office/drawing/2014/main" id="{00000000-0008-0000-0500-00009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51</xdr:row>
          <xdr:rowOff>133350</xdr:rowOff>
        </xdr:from>
        <xdr:to>
          <xdr:col>12</xdr:col>
          <xdr:colOff>95250</xdr:colOff>
          <xdr:row>53</xdr:row>
          <xdr:rowOff>19050</xdr:rowOff>
        </xdr:to>
        <xdr:sp macro="" textlink="">
          <xdr:nvSpPr>
            <xdr:cNvPr id="19606" name="Check Box 150" hidden="1">
              <a:extLst>
                <a:ext uri="{63B3BB69-23CF-44E3-9099-C40C66FF867C}">
                  <a14:compatExt spid="_x0000_s19606"/>
                </a:ext>
                <a:ext uri="{FF2B5EF4-FFF2-40B4-BE49-F238E27FC236}">
                  <a16:creationId xmlns:a16="http://schemas.microsoft.com/office/drawing/2014/main" id="{00000000-0008-0000-0500-00009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51</xdr:row>
          <xdr:rowOff>133350</xdr:rowOff>
        </xdr:from>
        <xdr:to>
          <xdr:col>24</xdr:col>
          <xdr:colOff>104775</xdr:colOff>
          <xdr:row>53</xdr:row>
          <xdr:rowOff>19050</xdr:rowOff>
        </xdr:to>
        <xdr:sp macro="" textlink="">
          <xdr:nvSpPr>
            <xdr:cNvPr id="19670" name="Check Box 214" hidden="1">
              <a:extLst>
                <a:ext uri="{63B3BB69-23CF-44E3-9099-C40C66FF867C}">
                  <a14:compatExt spid="_x0000_s19670"/>
                </a:ext>
                <a:ext uri="{FF2B5EF4-FFF2-40B4-BE49-F238E27FC236}">
                  <a16:creationId xmlns:a16="http://schemas.microsoft.com/office/drawing/2014/main" id="{00000000-0008-0000-0500-0000D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76200</xdr:colOff>
          <xdr:row>129</xdr:row>
          <xdr:rowOff>142875</xdr:rowOff>
        </xdr:from>
        <xdr:to>
          <xdr:col>10</xdr:col>
          <xdr:colOff>476250</xdr:colOff>
          <xdr:row>131</xdr:row>
          <xdr:rowOff>28575</xdr:rowOff>
        </xdr:to>
        <xdr:sp macro="" textlink="">
          <xdr:nvSpPr>
            <xdr:cNvPr id="100372" name="Check Box 20" hidden="1">
              <a:extLst>
                <a:ext uri="{63B3BB69-23CF-44E3-9099-C40C66FF867C}">
                  <a14:compatExt spid="_x0000_s100372"/>
                </a:ext>
                <a:ext uri="{FF2B5EF4-FFF2-40B4-BE49-F238E27FC236}">
                  <a16:creationId xmlns:a16="http://schemas.microsoft.com/office/drawing/2014/main" id="{00000000-0008-0000-0900-000014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129</xdr:row>
          <xdr:rowOff>142875</xdr:rowOff>
        </xdr:from>
        <xdr:to>
          <xdr:col>11</xdr:col>
          <xdr:colOff>485775</xdr:colOff>
          <xdr:row>131</xdr:row>
          <xdr:rowOff>38100</xdr:rowOff>
        </xdr:to>
        <xdr:sp macro="" textlink="">
          <xdr:nvSpPr>
            <xdr:cNvPr id="100373" name="Check Box 21" hidden="1">
              <a:extLst>
                <a:ext uri="{63B3BB69-23CF-44E3-9099-C40C66FF867C}">
                  <a14:compatExt spid="_x0000_s100373"/>
                </a:ext>
                <a:ext uri="{FF2B5EF4-FFF2-40B4-BE49-F238E27FC236}">
                  <a16:creationId xmlns:a16="http://schemas.microsoft.com/office/drawing/2014/main" id="{00000000-0008-0000-0900-000015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115</xdr:row>
          <xdr:rowOff>142875</xdr:rowOff>
        </xdr:from>
        <xdr:to>
          <xdr:col>4</xdr:col>
          <xdr:colOff>447675</xdr:colOff>
          <xdr:row>117</xdr:row>
          <xdr:rowOff>28575</xdr:rowOff>
        </xdr:to>
        <xdr:sp macro="" textlink="">
          <xdr:nvSpPr>
            <xdr:cNvPr id="100374" name="Check Box 22" hidden="1">
              <a:extLst>
                <a:ext uri="{63B3BB69-23CF-44E3-9099-C40C66FF867C}">
                  <a14:compatExt spid="_x0000_s100374"/>
                </a:ext>
                <a:ext uri="{FF2B5EF4-FFF2-40B4-BE49-F238E27FC236}">
                  <a16:creationId xmlns:a16="http://schemas.microsoft.com/office/drawing/2014/main" id="{00000000-0008-0000-0900-0000168801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619125</xdr:colOff>
          <xdr:row>115</xdr:row>
          <xdr:rowOff>133350</xdr:rowOff>
        </xdr:from>
        <xdr:to>
          <xdr:col>5</xdr:col>
          <xdr:colOff>476250</xdr:colOff>
          <xdr:row>117</xdr:row>
          <xdr:rowOff>28575</xdr:rowOff>
        </xdr:to>
        <xdr:sp macro="" textlink="">
          <xdr:nvSpPr>
            <xdr:cNvPr id="100375" name="Check Box 23" hidden="1">
              <a:extLst>
                <a:ext uri="{63B3BB69-23CF-44E3-9099-C40C66FF867C}">
                  <a14:compatExt spid="_x0000_s100375"/>
                </a:ext>
                <a:ext uri="{FF2B5EF4-FFF2-40B4-BE49-F238E27FC236}">
                  <a16:creationId xmlns:a16="http://schemas.microsoft.com/office/drawing/2014/main" id="{00000000-0008-0000-0900-000017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127</xdr:row>
          <xdr:rowOff>142875</xdr:rowOff>
        </xdr:from>
        <xdr:to>
          <xdr:col>10</xdr:col>
          <xdr:colOff>476250</xdr:colOff>
          <xdr:row>129</xdr:row>
          <xdr:rowOff>28575</xdr:rowOff>
        </xdr:to>
        <xdr:sp macro="" textlink="">
          <xdr:nvSpPr>
            <xdr:cNvPr id="100376" name="Check Box 24" hidden="1">
              <a:extLst>
                <a:ext uri="{63B3BB69-23CF-44E3-9099-C40C66FF867C}">
                  <a14:compatExt spid="_x0000_s100376"/>
                </a:ext>
                <a:ext uri="{FF2B5EF4-FFF2-40B4-BE49-F238E27FC236}">
                  <a16:creationId xmlns:a16="http://schemas.microsoft.com/office/drawing/2014/main" id="{00000000-0008-0000-0900-000018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127</xdr:row>
          <xdr:rowOff>133350</xdr:rowOff>
        </xdr:from>
        <xdr:to>
          <xdr:col>11</xdr:col>
          <xdr:colOff>485775</xdr:colOff>
          <xdr:row>129</xdr:row>
          <xdr:rowOff>28575</xdr:rowOff>
        </xdr:to>
        <xdr:sp macro="" textlink="">
          <xdr:nvSpPr>
            <xdr:cNvPr id="100377" name="Check Box 25" hidden="1">
              <a:extLst>
                <a:ext uri="{63B3BB69-23CF-44E3-9099-C40C66FF867C}">
                  <a14:compatExt spid="_x0000_s100377"/>
                </a:ext>
                <a:ext uri="{FF2B5EF4-FFF2-40B4-BE49-F238E27FC236}">
                  <a16:creationId xmlns:a16="http://schemas.microsoft.com/office/drawing/2014/main" id="{00000000-0008-0000-0900-000019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8</xdr:row>
          <xdr:rowOff>0</xdr:rowOff>
        </xdr:from>
        <xdr:to>
          <xdr:col>4</xdr:col>
          <xdr:colOff>533400</xdr:colOff>
          <xdr:row>9</xdr:row>
          <xdr:rowOff>19050</xdr:rowOff>
        </xdr:to>
        <xdr:sp macro="" textlink="">
          <xdr:nvSpPr>
            <xdr:cNvPr id="100388" name="Option Button 36" hidden="1">
              <a:extLst>
                <a:ext uri="{63B3BB69-23CF-44E3-9099-C40C66FF867C}">
                  <a14:compatExt spid="_x0000_s100388"/>
                </a:ext>
                <a:ext uri="{FF2B5EF4-FFF2-40B4-BE49-F238E27FC236}">
                  <a16:creationId xmlns:a16="http://schemas.microsoft.com/office/drawing/2014/main" id="{00000000-0008-0000-0900-000024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7</xdr:row>
          <xdr:rowOff>152400</xdr:rowOff>
        </xdr:from>
        <xdr:to>
          <xdr:col>7</xdr:col>
          <xdr:colOff>457200</xdr:colOff>
          <xdr:row>9</xdr:row>
          <xdr:rowOff>9525</xdr:rowOff>
        </xdr:to>
        <xdr:sp macro="" textlink="">
          <xdr:nvSpPr>
            <xdr:cNvPr id="100389" name="Option Button 37" hidden="1">
              <a:extLst>
                <a:ext uri="{63B3BB69-23CF-44E3-9099-C40C66FF867C}">
                  <a14:compatExt spid="_x0000_s100389"/>
                </a:ext>
                <a:ext uri="{FF2B5EF4-FFF2-40B4-BE49-F238E27FC236}">
                  <a16:creationId xmlns:a16="http://schemas.microsoft.com/office/drawing/2014/main" id="{00000000-0008-0000-0900-000025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115</xdr:row>
          <xdr:rowOff>142875</xdr:rowOff>
        </xdr:from>
        <xdr:to>
          <xdr:col>6</xdr:col>
          <xdr:colOff>447675</xdr:colOff>
          <xdr:row>117</xdr:row>
          <xdr:rowOff>28575</xdr:rowOff>
        </xdr:to>
        <xdr:sp macro="" textlink="">
          <xdr:nvSpPr>
            <xdr:cNvPr id="100396" name="Check Box 44" hidden="1">
              <a:extLst>
                <a:ext uri="{63B3BB69-23CF-44E3-9099-C40C66FF867C}">
                  <a14:compatExt spid="_x0000_s100396"/>
                </a:ext>
                <a:ext uri="{FF2B5EF4-FFF2-40B4-BE49-F238E27FC236}">
                  <a16:creationId xmlns:a16="http://schemas.microsoft.com/office/drawing/2014/main" id="{00000000-0008-0000-0900-00002C8801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115</xdr:row>
          <xdr:rowOff>133350</xdr:rowOff>
        </xdr:from>
        <xdr:to>
          <xdr:col>8</xdr:col>
          <xdr:colOff>57150</xdr:colOff>
          <xdr:row>117</xdr:row>
          <xdr:rowOff>28575</xdr:rowOff>
        </xdr:to>
        <xdr:sp macro="" textlink="">
          <xdr:nvSpPr>
            <xdr:cNvPr id="100397" name="Check Box 45" hidden="1">
              <a:extLst>
                <a:ext uri="{63B3BB69-23CF-44E3-9099-C40C66FF867C}">
                  <a14:compatExt spid="_x0000_s100397"/>
                </a:ext>
                <a:ext uri="{FF2B5EF4-FFF2-40B4-BE49-F238E27FC236}">
                  <a16:creationId xmlns:a16="http://schemas.microsoft.com/office/drawing/2014/main" id="{00000000-0008-0000-0900-00002D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115</xdr:row>
          <xdr:rowOff>142875</xdr:rowOff>
        </xdr:from>
        <xdr:to>
          <xdr:col>8</xdr:col>
          <xdr:colOff>447675</xdr:colOff>
          <xdr:row>117</xdr:row>
          <xdr:rowOff>28575</xdr:rowOff>
        </xdr:to>
        <xdr:sp macro="" textlink="">
          <xdr:nvSpPr>
            <xdr:cNvPr id="100401" name="Check Box 49" hidden="1">
              <a:extLst>
                <a:ext uri="{63B3BB69-23CF-44E3-9099-C40C66FF867C}">
                  <a14:compatExt spid="_x0000_s100401"/>
                </a:ext>
                <a:ext uri="{FF2B5EF4-FFF2-40B4-BE49-F238E27FC236}">
                  <a16:creationId xmlns:a16="http://schemas.microsoft.com/office/drawing/2014/main" id="{00000000-0008-0000-0900-0000318801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619125</xdr:colOff>
          <xdr:row>115</xdr:row>
          <xdr:rowOff>133350</xdr:rowOff>
        </xdr:from>
        <xdr:to>
          <xdr:col>9</xdr:col>
          <xdr:colOff>533400</xdr:colOff>
          <xdr:row>117</xdr:row>
          <xdr:rowOff>28575</xdr:rowOff>
        </xdr:to>
        <xdr:sp macro="" textlink="">
          <xdr:nvSpPr>
            <xdr:cNvPr id="100402" name="Check Box 50" hidden="1">
              <a:extLst>
                <a:ext uri="{63B3BB69-23CF-44E3-9099-C40C66FF867C}">
                  <a14:compatExt spid="_x0000_s100402"/>
                </a:ext>
                <a:ext uri="{FF2B5EF4-FFF2-40B4-BE49-F238E27FC236}">
                  <a16:creationId xmlns:a16="http://schemas.microsoft.com/office/drawing/2014/main" id="{00000000-0008-0000-0900-00003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115</xdr:row>
          <xdr:rowOff>142875</xdr:rowOff>
        </xdr:from>
        <xdr:to>
          <xdr:col>10</xdr:col>
          <xdr:colOff>447675</xdr:colOff>
          <xdr:row>117</xdr:row>
          <xdr:rowOff>28575</xdr:rowOff>
        </xdr:to>
        <xdr:sp macro="" textlink="">
          <xdr:nvSpPr>
            <xdr:cNvPr id="100406" name="Check Box 54" hidden="1">
              <a:extLst>
                <a:ext uri="{63B3BB69-23CF-44E3-9099-C40C66FF867C}">
                  <a14:compatExt spid="_x0000_s100406"/>
                </a:ext>
                <a:ext uri="{FF2B5EF4-FFF2-40B4-BE49-F238E27FC236}">
                  <a16:creationId xmlns:a16="http://schemas.microsoft.com/office/drawing/2014/main" id="{00000000-0008-0000-0900-0000368801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619125</xdr:colOff>
          <xdr:row>115</xdr:row>
          <xdr:rowOff>133350</xdr:rowOff>
        </xdr:from>
        <xdr:to>
          <xdr:col>11</xdr:col>
          <xdr:colOff>428625</xdr:colOff>
          <xdr:row>117</xdr:row>
          <xdr:rowOff>28575</xdr:rowOff>
        </xdr:to>
        <xdr:sp macro="" textlink="">
          <xdr:nvSpPr>
            <xdr:cNvPr id="100407" name="Check Box 55" hidden="1">
              <a:extLst>
                <a:ext uri="{63B3BB69-23CF-44E3-9099-C40C66FF867C}">
                  <a14:compatExt spid="_x0000_s100407"/>
                </a:ext>
                <a:ext uri="{FF2B5EF4-FFF2-40B4-BE49-F238E27FC236}">
                  <a16:creationId xmlns:a16="http://schemas.microsoft.com/office/drawing/2014/main" id="{00000000-0008-0000-0900-000037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26</xdr:row>
          <xdr:rowOff>19050</xdr:rowOff>
        </xdr:from>
        <xdr:to>
          <xdr:col>9</xdr:col>
          <xdr:colOff>0</xdr:colOff>
          <xdr:row>26</xdr:row>
          <xdr:rowOff>266700</xdr:rowOff>
        </xdr:to>
        <xdr:sp macro="" textlink="">
          <xdr:nvSpPr>
            <xdr:cNvPr id="208897" name="Group Box 1" hidden="1">
              <a:extLst>
                <a:ext uri="{63B3BB69-23CF-44E3-9099-C40C66FF867C}">
                  <a14:compatExt spid="_x0000_s208897"/>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25</xdr:row>
          <xdr:rowOff>0</xdr:rowOff>
        </xdr:from>
        <xdr:to>
          <xdr:col>9</xdr:col>
          <xdr:colOff>0</xdr:colOff>
          <xdr:row>25</xdr:row>
          <xdr:rowOff>266700</xdr:rowOff>
        </xdr:to>
        <xdr:sp macro="" textlink="">
          <xdr:nvSpPr>
            <xdr:cNvPr id="208898" name="Group Box 2" hidden="1">
              <a:extLst>
                <a:ext uri="{63B3BB69-23CF-44E3-9099-C40C66FF867C}">
                  <a14:compatExt spid="_x0000_s208898"/>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27</xdr:row>
          <xdr:rowOff>9525</xdr:rowOff>
        </xdr:from>
        <xdr:to>
          <xdr:col>8</xdr:col>
          <xdr:colOff>876300</xdr:colOff>
          <xdr:row>28</xdr:row>
          <xdr:rowOff>9525</xdr:rowOff>
        </xdr:to>
        <xdr:sp macro="" textlink="">
          <xdr:nvSpPr>
            <xdr:cNvPr id="208899" name="Group Box 3" hidden="1">
              <a:extLst>
                <a:ext uri="{63B3BB69-23CF-44E3-9099-C40C66FF867C}">
                  <a14:compatExt spid="_x0000_s208899"/>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25</xdr:row>
          <xdr:rowOff>0</xdr:rowOff>
        </xdr:from>
        <xdr:to>
          <xdr:col>9</xdr:col>
          <xdr:colOff>0</xdr:colOff>
          <xdr:row>25</xdr:row>
          <xdr:rowOff>266700</xdr:rowOff>
        </xdr:to>
        <xdr:sp macro="" textlink="">
          <xdr:nvSpPr>
            <xdr:cNvPr id="208900" name="Group Box 4" hidden="1">
              <a:extLst>
                <a:ext uri="{63B3BB69-23CF-44E3-9099-C40C66FF867C}">
                  <a14:compatExt spid="_x0000_s208900"/>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26</xdr:row>
          <xdr:rowOff>0</xdr:rowOff>
        </xdr:from>
        <xdr:to>
          <xdr:col>9</xdr:col>
          <xdr:colOff>0</xdr:colOff>
          <xdr:row>26</xdr:row>
          <xdr:rowOff>266700</xdr:rowOff>
        </xdr:to>
        <xdr:sp macro="" textlink="">
          <xdr:nvSpPr>
            <xdr:cNvPr id="208901" name="Group Box 5" hidden="1">
              <a:extLst>
                <a:ext uri="{63B3BB69-23CF-44E3-9099-C40C66FF867C}">
                  <a14:compatExt spid="_x0000_s208901"/>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26</xdr:row>
          <xdr:rowOff>0</xdr:rowOff>
        </xdr:from>
        <xdr:to>
          <xdr:col>9</xdr:col>
          <xdr:colOff>0</xdr:colOff>
          <xdr:row>26</xdr:row>
          <xdr:rowOff>266700</xdr:rowOff>
        </xdr:to>
        <xdr:sp macro="" textlink="">
          <xdr:nvSpPr>
            <xdr:cNvPr id="208902" name="Group Box 6" hidden="1">
              <a:extLst>
                <a:ext uri="{63B3BB69-23CF-44E3-9099-C40C66FF867C}">
                  <a14:compatExt spid="_x0000_s208902"/>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27</xdr:row>
          <xdr:rowOff>0</xdr:rowOff>
        </xdr:from>
        <xdr:to>
          <xdr:col>9</xdr:col>
          <xdr:colOff>0</xdr:colOff>
          <xdr:row>27</xdr:row>
          <xdr:rowOff>266700</xdr:rowOff>
        </xdr:to>
        <xdr:sp macro="" textlink="">
          <xdr:nvSpPr>
            <xdr:cNvPr id="208903" name="Group Box 7" hidden="1">
              <a:extLst>
                <a:ext uri="{63B3BB69-23CF-44E3-9099-C40C66FF867C}">
                  <a14:compatExt spid="_x0000_s208903"/>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27</xdr:row>
          <xdr:rowOff>0</xdr:rowOff>
        </xdr:from>
        <xdr:to>
          <xdr:col>9</xdr:col>
          <xdr:colOff>0</xdr:colOff>
          <xdr:row>27</xdr:row>
          <xdr:rowOff>266700</xdr:rowOff>
        </xdr:to>
        <xdr:sp macro="" textlink="">
          <xdr:nvSpPr>
            <xdr:cNvPr id="208904" name="Group Box 8" hidden="1">
              <a:extLst>
                <a:ext uri="{63B3BB69-23CF-44E3-9099-C40C66FF867C}">
                  <a14:compatExt spid="_x0000_s208904"/>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219075</xdr:colOff>
          <xdr:row>18</xdr:row>
          <xdr:rowOff>76200</xdr:rowOff>
        </xdr:from>
        <xdr:to>
          <xdr:col>4</xdr:col>
          <xdr:colOff>590550</xdr:colOff>
          <xdr:row>19</xdr:row>
          <xdr:rowOff>95250</xdr:rowOff>
        </xdr:to>
        <xdr:sp macro="" textlink="">
          <xdr:nvSpPr>
            <xdr:cNvPr id="14403" name="Option Button 67" hidden="1">
              <a:extLst>
                <a:ext uri="{63B3BB69-23CF-44E3-9099-C40C66FF867C}">
                  <a14:compatExt spid="_x0000_s14403"/>
                </a:ext>
                <a:ext uri="{FF2B5EF4-FFF2-40B4-BE49-F238E27FC236}">
                  <a16:creationId xmlns:a16="http://schemas.microsoft.com/office/drawing/2014/main" id="{00000000-0008-0000-1100-000043380000}"/>
                </a:ext>
              </a:extLst>
            </xdr:cNvPr>
            <xdr:cNvSpPr/>
          </xdr:nvSpPr>
          <xdr:spPr bwMode="auto">
            <a:xfrm>
              <a:off x="0" y="0"/>
              <a:ext cx="0" cy="0"/>
            </a:xfrm>
            <a:prstGeom prst="rect">
              <a:avLst/>
            </a:prstGeom>
            <a:solidFill>
              <a:srgbClr val="FFFF99" mc:Ignorable="a14" a14:legacySpreadsheetColorIndex="4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742950</xdr:colOff>
          <xdr:row>18</xdr:row>
          <xdr:rowOff>76200</xdr:rowOff>
        </xdr:from>
        <xdr:to>
          <xdr:col>4</xdr:col>
          <xdr:colOff>1104900</xdr:colOff>
          <xdr:row>19</xdr:row>
          <xdr:rowOff>95250</xdr:rowOff>
        </xdr:to>
        <xdr:sp macro="" textlink="">
          <xdr:nvSpPr>
            <xdr:cNvPr id="14404" name="Option Button 68" hidden="1">
              <a:extLst>
                <a:ext uri="{63B3BB69-23CF-44E3-9099-C40C66FF867C}">
                  <a14:compatExt spid="_x0000_s14404"/>
                </a:ext>
                <a:ext uri="{FF2B5EF4-FFF2-40B4-BE49-F238E27FC236}">
                  <a16:creationId xmlns:a16="http://schemas.microsoft.com/office/drawing/2014/main" id="{00000000-0008-0000-1100-000044380000}"/>
                </a:ext>
              </a:extLst>
            </xdr:cNvPr>
            <xdr:cNvSpPr/>
          </xdr:nvSpPr>
          <xdr:spPr bwMode="auto">
            <a:xfrm>
              <a:off x="0" y="0"/>
              <a:ext cx="0" cy="0"/>
            </a:xfrm>
            <a:prstGeom prst="rect">
              <a:avLst/>
            </a:prstGeom>
            <a:solidFill>
              <a:srgbClr val="FFFF99" mc:Ignorable="a14" a14:legacySpreadsheetColorIndex="43"/>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285750</xdr:colOff>
          <xdr:row>1</xdr:row>
          <xdr:rowOff>152400</xdr:rowOff>
        </xdr:from>
        <xdr:to>
          <xdr:col>3</xdr:col>
          <xdr:colOff>590550</xdr:colOff>
          <xdr:row>3</xdr:row>
          <xdr:rowOff>28575</xdr:rowOff>
        </xdr:to>
        <xdr:sp macro="" textlink="">
          <xdr:nvSpPr>
            <xdr:cNvPr id="24596" name="Option Button 20" hidden="1">
              <a:extLst>
                <a:ext uri="{63B3BB69-23CF-44E3-9099-C40C66FF867C}">
                  <a14:compatExt spid="_x0000_s24596"/>
                </a:ext>
                <a:ext uri="{FF2B5EF4-FFF2-40B4-BE49-F238E27FC236}">
                  <a16:creationId xmlns:a16="http://schemas.microsoft.com/office/drawing/2014/main" id="{00000000-0008-0000-1200-00001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xdr:row>
          <xdr:rowOff>152400</xdr:rowOff>
        </xdr:from>
        <xdr:to>
          <xdr:col>6</xdr:col>
          <xdr:colOff>571500</xdr:colOff>
          <xdr:row>3</xdr:row>
          <xdr:rowOff>28575</xdr:rowOff>
        </xdr:to>
        <xdr:sp macro="" textlink="">
          <xdr:nvSpPr>
            <xdr:cNvPr id="24597" name="Option Button 21" hidden="1">
              <a:extLst>
                <a:ext uri="{63B3BB69-23CF-44E3-9099-C40C66FF867C}">
                  <a14:compatExt spid="_x0000_s24597"/>
                </a:ext>
                <a:ext uri="{FF2B5EF4-FFF2-40B4-BE49-F238E27FC236}">
                  <a16:creationId xmlns:a16="http://schemas.microsoft.com/office/drawing/2014/main" id="{00000000-0008-0000-1200-00001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rodine\Downloads\universalapplic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qfiles\groups\DFA\Programs\VHHP\4.%20VHHP%20Round%203%20(12-14-16)%20Planning\Application\Copy%20of%20universalappl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20" refreshError="1"/>
      <sheetData sheetId="21" refreshError="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s>
    <sheetDataSet>
      <sheetData sheetId="0" refreshError="1"/>
      <sheetData sheetId="1"/>
      <sheetData sheetId="2" refreshError="1"/>
      <sheetData sheetId="3" refreshError="1"/>
      <sheetData sheetId="4" refreshError="1"/>
      <sheetData sheetId="5">
        <row r="15">
          <cell r="I15">
            <v>0</v>
          </cell>
        </row>
      </sheetData>
      <sheetData sheetId="6">
        <row r="25">
          <cell r="Z25">
            <v>0.5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20">
        <row r="3">
          <cell r="B3" t="str">
            <v>20% at 50%</v>
          </cell>
        </row>
      </sheetData>
      <sheetData sheetId="21" refreshError="1"/>
      <sheetData sheetId="2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bwMode="auto">
        <a:solidFill>
          <a:srgbClr val="FFFF00">
            <a:alpha val="50000"/>
          </a:srgbClr>
        </a:solidFill>
        <a:ln w="9525">
          <a:solidFill>
            <a:srgbClr val="000000"/>
          </a:solidFill>
          <a:miter lim="800000"/>
          <a:headEnd/>
          <a:tailEnd/>
        </a:ln>
      </a:spPr>
      <a:bodyPr/>
      <a:lstStyle/>
    </a:tx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marmstrong@treasurer.ca.gov" TargetMode="External"/><Relationship Id="rId7" Type="http://schemas.openxmlformats.org/officeDocument/2006/relationships/vmlDrawing" Target="../drawings/vmlDrawing1.vml"/><Relationship Id="rId2" Type="http://schemas.openxmlformats.org/officeDocument/2006/relationships/hyperlink" Target="mailto:mfogal@calhfa.ca.gov" TargetMode="External"/><Relationship Id="rId1" Type="http://schemas.openxmlformats.org/officeDocument/2006/relationships/hyperlink" Target="mailto:grodine@hcd.ca.gov"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gferguson@treasurer.ca.gov"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omments" Target="../comments2.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9" Type="http://schemas.openxmlformats.org/officeDocument/2006/relationships/ctrlProp" Target="../ctrlProps/ctrlProp43.xml"/><Relationship Id="rId21" Type="http://schemas.openxmlformats.org/officeDocument/2006/relationships/ctrlProp" Target="../ctrlProps/ctrlProp25.xml"/><Relationship Id="rId34" Type="http://schemas.openxmlformats.org/officeDocument/2006/relationships/ctrlProp" Target="../ctrlProps/ctrlProp38.xml"/><Relationship Id="rId42" Type="http://schemas.openxmlformats.org/officeDocument/2006/relationships/ctrlProp" Target="../ctrlProps/ctrlProp46.xml"/><Relationship Id="rId47" Type="http://schemas.openxmlformats.org/officeDocument/2006/relationships/ctrlProp" Target="../ctrlProps/ctrlProp51.xml"/><Relationship Id="rId50" Type="http://schemas.openxmlformats.org/officeDocument/2006/relationships/ctrlProp" Target="../ctrlProps/ctrlProp54.xml"/><Relationship Id="rId55" Type="http://schemas.openxmlformats.org/officeDocument/2006/relationships/ctrlProp" Target="../ctrlProps/ctrlProp59.xml"/><Relationship Id="rId7" Type="http://schemas.openxmlformats.org/officeDocument/2006/relationships/ctrlProp" Target="../ctrlProps/ctrlProp11.xml"/><Relationship Id="rId2" Type="http://schemas.openxmlformats.org/officeDocument/2006/relationships/drawing" Target="../drawings/drawing3.xml"/><Relationship Id="rId16" Type="http://schemas.openxmlformats.org/officeDocument/2006/relationships/ctrlProp" Target="../ctrlProps/ctrlProp20.xml"/><Relationship Id="rId29" Type="http://schemas.openxmlformats.org/officeDocument/2006/relationships/ctrlProp" Target="../ctrlProps/ctrlProp33.xml"/><Relationship Id="rId11" Type="http://schemas.openxmlformats.org/officeDocument/2006/relationships/ctrlProp" Target="../ctrlProps/ctrlProp15.xml"/><Relationship Id="rId24" Type="http://schemas.openxmlformats.org/officeDocument/2006/relationships/ctrlProp" Target="../ctrlProps/ctrlProp28.xml"/><Relationship Id="rId32" Type="http://schemas.openxmlformats.org/officeDocument/2006/relationships/ctrlProp" Target="../ctrlProps/ctrlProp36.xml"/><Relationship Id="rId37" Type="http://schemas.openxmlformats.org/officeDocument/2006/relationships/ctrlProp" Target="../ctrlProps/ctrlProp41.xml"/><Relationship Id="rId40" Type="http://schemas.openxmlformats.org/officeDocument/2006/relationships/ctrlProp" Target="../ctrlProps/ctrlProp44.xml"/><Relationship Id="rId45" Type="http://schemas.openxmlformats.org/officeDocument/2006/relationships/ctrlProp" Target="../ctrlProps/ctrlProp49.xml"/><Relationship Id="rId53" Type="http://schemas.openxmlformats.org/officeDocument/2006/relationships/ctrlProp" Target="../ctrlProps/ctrlProp57.xml"/><Relationship Id="rId58" Type="http://schemas.openxmlformats.org/officeDocument/2006/relationships/ctrlProp" Target="../ctrlProps/ctrlProp62.xml"/><Relationship Id="rId5" Type="http://schemas.openxmlformats.org/officeDocument/2006/relationships/ctrlProp" Target="../ctrlProps/ctrlProp9.xml"/><Relationship Id="rId19" Type="http://schemas.openxmlformats.org/officeDocument/2006/relationships/ctrlProp" Target="../ctrlProps/ctrlProp23.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 Id="rId27" Type="http://schemas.openxmlformats.org/officeDocument/2006/relationships/ctrlProp" Target="../ctrlProps/ctrlProp31.xml"/><Relationship Id="rId30" Type="http://schemas.openxmlformats.org/officeDocument/2006/relationships/ctrlProp" Target="../ctrlProps/ctrlProp34.xml"/><Relationship Id="rId35" Type="http://schemas.openxmlformats.org/officeDocument/2006/relationships/ctrlProp" Target="../ctrlProps/ctrlProp39.xml"/><Relationship Id="rId43" Type="http://schemas.openxmlformats.org/officeDocument/2006/relationships/ctrlProp" Target="../ctrlProps/ctrlProp47.xml"/><Relationship Id="rId48" Type="http://schemas.openxmlformats.org/officeDocument/2006/relationships/ctrlProp" Target="../ctrlProps/ctrlProp52.xml"/><Relationship Id="rId56" Type="http://schemas.openxmlformats.org/officeDocument/2006/relationships/ctrlProp" Target="../ctrlProps/ctrlProp60.xml"/><Relationship Id="rId8" Type="http://schemas.openxmlformats.org/officeDocument/2006/relationships/ctrlProp" Target="../ctrlProps/ctrlProp12.xml"/><Relationship Id="rId51" Type="http://schemas.openxmlformats.org/officeDocument/2006/relationships/ctrlProp" Target="../ctrlProps/ctrlProp55.xml"/><Relationship Id="rId3" Type="http://schemas.openxmlformats.org/officeDocument/2006/relationships/vmlDrawing" Target="../drawings/vmlDrawing3.v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33" Type="http://schemas.openxmlformats.org/officeDocument/2006/relationships/ctrlProp" Target="../ctrlProps/ctrlProp37.xml"/><Relationship Id="rId38" Type="http://schemas.openxmlformats.org/officeDocument/2006/relationships/ctrlProp" Target="../ctrlProps/ctrlProp42.xml"/><Relationship Id="rId46" Type="http://schemas.openxmlformats.org/officeDocument/2006/relationships/ctrlProp" Target="../ctrlProps/ctrlProp50.xml"/><Relationship Id="rId59" Type="http://schemas.openxmlformats.org/officeDocument/2006/relationships/ctrlProp" Target="../ctrlProps/ctrlProp63.xml"/><Relationship Id="rId20" Type="http://schemas.openxmlformats.org/officeDocument/2006/relationships/ctrlProp" Target="../ctrlProps/ctrlProp24.xml"/><Relationship Id="rId41" Type="http://schemas.openxmlformats.org/officeDocument/2006/relationships/ctrlProp" Target="../ctrlProps/ctrlProp45.xml"/><Relationship Id="rId54" Type="http://schemas.openxmlformats.org/officeDocument/2006/relationships/ctrlProp" Target="../ctrlProps/ctrlProp58.xml"/><Relationship Id="rId1" Type="http://schemas.openxmlformats.org/officeDocument/2006/relationships/printerSettings" Target="../printerSettings/printerSettings4.bin"/><Relationship Id="rId6" Type="http://schemas.openxmlformats.org/officeDocument/2006/relationships/ctrlProp" Target="../ctrlProps/ctrlProp10.xml"/><Relationship Id="rId15" Type="http://schemas.openxmlformats.org/officeDocument/2006/relationships/ctrlProp" Target="../ctrlProps/ctrlProp19.xml"/><Relationship Id="rId23" Type="http://schemas.openxmlformats.org/officeDocument/2006/relationships/ctrlProp" Target="../ctrlProps/ctrlProp27.xml"/><Relationship Id="rId28" Type="http://schemas.openxmlformats.org/officeDocument/2006/relationships/ctrlProp" Target="../ctrlProps/ctrlProp32.xml"/><Relationship Id="rId36" Type="http://schemas.openxmlformats.org/officeDocument/2006/relationships/ctrlProp" Target="../ctrlProps/ctrlProp40.xml"/><Relationship Id="rId49" Type="http://schemas.openxmlformats.org/officeDocument/2006/relationships/ctrlProp" Target="../ctrlProps/ctrlProp53.xml"/><Relationship Id="rId57" Type="http://schemas.openxmlformats.org/officeDocument/2006/relationships/ctrlProp" Target="../ctrlProps/ctrlProp61.xml"/><Relationship Id="rId10" Type="http://schemas.openxmlformats.org/officeDocument/2006/relationships/ctrlProp" Target="../ctrlProps/ctrlProp14.xml"/><Relationship Id="rId31" Type="http://schemas.openxmlformats.org/officeDocument/2006/relationships/ctrlProp" Target="../ctrlProps/ctrlProp35.xml"/><Relationship Id="rId44" Type="http://schemas.openxmlformats.org/officeDocument/2006/relationships/ctrlProp" Target="../ctrlProps/ctrlProp48.xml"/><Relationship Id="rId52" Type="http://schemas.openxmlformats.org/officeDocument/2006/relationships/ctrlProp" Target="../ctrlProps/ctrlProp56.xml"/><Relationship Id="rId60" Type="http://schemas.openxmlformats.org/officeDocument/2006/relationships/comments" Target="../comments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68.xml"/><Relationship Id="rId3" Type="http://schemas.openxmlformats.org/officeDocument/2006/relationships/vmlDrawing" Target="../drawings/vmlDrawing4.vml"/><Relationship Id="rId7" Type="http://schemas.openxmlformats.org/officeDocument/2006/relationships/ctrlProp" Target="../ctrlProps/ctrlProp67.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ctrlProp" Target="../ctrlProps/ctrlProp64.xml"/><Relationship Id="rId9"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omments" Target="../comments8.xml"/><Relationship Id="rId3" Type="http://schemas.openxmlformats.org/officeDocument/2006/relationships/vmlDrawing" Target="../drawings/vmlDrawing8.v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 Type="http://schemas.openxmlformats.org/officeDocument/2006/relationships/drawing" Target="../drawings/drawing5.xml"/><Relationship Id="rId16" Type="http://schemas.openxmlformats.org/officeDocument/2006/relationships/ctrlProp" Target="../ctrlProps/ctrlProp81.xml"/><Relationship Id="rId1" Type="http://schemas.openxmlformats.org/officeDocument/2006/relationships/printerSettings" Target="../printerSettings/printerSettings9.bin"/><Relationship Id="rId6" Type="http://schemas.openxmlformats.org/officeDocument/2006/relationships/ctrlProp" Target="../ctrlProps/ctrlProp71.xml"/><Relationship Id="rId11" Type="http://schemas.openxmlformats.org/officeDocument/2006/relationships/ctrlProp" Target="../ctrlProps/ctrlProp76.xml"/><Relationship Id="rId5" Type="http://schemas.openxmlformats.org/officeDocument/2006/relationships/ctrlProp" Target="../ctrlProps/ctrlProp70.xml"/><Relationship Id="rId15" Type="http://schemas.openxmlformats.org/officeDocument/2006/relationships/ctrlProp" Target="../ctrlProps/ctrlProp80.xml"/><Relationship Id="rId10" Type="http://schemas.openxmlformats.org/officeDocument/2006/relationships/ctrlProp" Target="../ctrlProps/ctrlProp75.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87.xml"/><Relationship Id="rId3" Type="http://schemas.openxmlformats.org/officeDocument/2006/relationships/vmlDrawing" Target="../drawings/vmlDrawing11.vml"/><Relationship Id="rId7" Type="http://schemas.openxmlformats.org/officeDocument/2006/relationships/ctrlProp" Target="../ctrlProps/ctrlProp86.xml"/><Relationship Id="rId12" Type="http://schemas.openxmlformats.org/officeDocument/2006/relationships/comments" Target="../comments11.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85.xml"/><Relationship Id="rId11" Type="http://schemas.openxmlformats.org/officeDocument/2006/relationships/ctrlProp" Target="../ctrlProps/ctrlProp90.xml"/><Relationship Id="rId5" Type="http://schemas.openxmlformats.org/officeDocument/2006/relationships/ctrlProp" Target="../ctrlProps/ctrlProp84.xml"/><Relationship Id="rId10" Type="http://schemas.openxmlformats.org/officeDocument/2006/relationships/ctrlProp" Target="../ctrlProps/ctrlProp89.xml"/><Relationship Id="rId4" Type="http://schemas.openxmlformats.org/officeDocument/2006/relationships/ctrlProp" Target="../ctrlProps/ctrlProp83.xml"/><Relationship Id="rId9" Type="http://schemas.openxmlformats.org/officeDocument/2006/relationships/ctrlProp" Target="../ctrlProps/ctrlProp88.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printerSettings" Target="../printerSettings/printerSettings14.bin"/><Relationship Id="rId1" Type="http://schemas.openxmlformats.org/officeDocument/2006/relationships/hyperlink" Target="http://www.hcd.ca.gov/fa/mhp/MHP-LoanClosing/7301Definitions.doc" TargetMode="External"/><Relationship Id="rId4"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7.xml"/><Relationship Id="rId1" Type="http://schemas.openxmlformats.org/officeDocument/2006/relationships/printerSettings" Target="../printerSettings/printerSettings15.bin"/><Relationship Id="rId6" Type="http://schemas.openxmlformats.org/officeDocument/2006/relationships/comments" Target="../comments14.xml"/><Relationship Id="rId5" Type="http://schemas.openxmlformats.org/officeDocument/2006/relationships/ctrlProp" Target="../ctrlProps/ctrlProp92.xml"/><Relationship Id="rId4" Type="http://schemas.openxmlformats.org/officeDocument/2006/relationships/ctrlProp" Target="../ctrlProps/ctrlProp91.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8.xml"/><Relationship Id="rId1" Type="http://schemas.openxmlformats.org/officeDocument/2006/relationships/printerSettings" Target="../printerSettings/printerSettings16.bin"/><Relationship Id="rId6" Type="http://schemas.openxmlformats.org/officeDocument/2006/relationships/comments" Target="../comments1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2:BB62"/>
  <sheetViews>
    <sheetView showGridLines="0" workbookViewId="0">
      <selection activeCell="A13" sqref="A13:AL13"/>
    </sheetView>
  </sheetViews>
  <sheetFormatPr defaultRowHeight="12.75"/>
  <cols>
    <col min="1" max="4" width="3" customWidth="1"/>
    <col min="5" max="5" width="4.7109375" customWidth="1"/>
    <col min="6" max="6" width="2.85546875" customWidth="1"/>
    <col min="7" max="7" width="2.28515625" customWidth="1"/>
    <col min="8" max="8" width="3.140625" customWidth="1"/>
    <col min="9" max="9" width="3.42578125" customWidth="1"/>
    <col min="10" max="12" width="3" customWidth="1"/>
    <col min="13" max="13" width="1.85546875" customWidth="1"/>
    <col min="14" max="17" width="3" customWidth="1"/>
    <col min="18" max="18" width="2.140625" customWidth="1"/>
    <col min="19" max="19" width="0.7109375" customWidth="1"/>
    <col min="20" max="20" width="3" customWidth="1"/>
    <col min="21" max="21" width="2" customWidth="1"/>
    <col min="22" max="24" width="3" customWidth="1"/>
    <col min="25" max="25" width="2.42578125" customWidth="1"/>
    <col min="26" max="26" width="2.5703125" customWidth="1"/>
    <col min="27" max="27" width="3.42578125" customWidth="1"/>
    <col min="28" max="28" width="1.7109375" customWidth="1"/>
    <col min="29" max="30" width="3" customWidth="1"/>
    <col min="31" max="31" width="2" customWidth="1"/>
    <col min="32" max="37" width="3" customWidth="1"/>
    <col min="38" max="38" width="7.7109375" customWidth="1"/>
    <col min="39" max="39" width="19.5703125" customWidth="1"/>
    <col min="46" max="46" width="14.85546875" customWidth="1"/>
    <col min="47" max="47" width="19.7109375" customWidth="1"/>
  </cols>
  <sheetData>
    <row r="2" spans="1:54" ht="15.75">
      <c r="A2" s="1324" t="s">
        <v>404</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J2" s="1324"/>
      <c r="AK2" s="1324"/>
      <c r="AL2" s="1324"/>
      <c r="AQ2" s="1323"/>
      <c r="AR2" s="1323"/>
      <c r="AS2" s="1323"/>
      <c r="AT2" s="1323"/>
      <c r="AU2" s="1323"/>
      <c r="AV2" s="1323"/>
      <c r="AW2" s="1323"/>
      <c r="AX2" s="1323"/>
      <c r="AY2" s="1323"/>
      <c r="AZ2" s="1323"/>
      <c r="BA2" s="1323"/>
      <c r="BB2" s="1323"/>
    </row>
    <row r="3" spans="1:54" ht="15.75">
      <c r="A3" s="1324" t="s">
        <v>405</v>
      </c>
      <c r="B3" s="1324"/>
      <c r="C3" s="1324"/>
      <c r="D3" s="1324"/>
      <c r="E3" s="1324"/>
      <c r="F3" s="1324"/>
      <c r="G3" s="1324"/>
      <c r="H3" s="1324"/>
      <c r="I3" s="1324"/>
      <c r="J3" s="1324"/>
      <c r="K3" s="1324"/>
      <c r="L3" s="1324"/>
      <c r="M3" s="1324"/>
      <c r="N3" s="1324"/>
      <c r="O3" s="1324"/>
      <c r="P3" s="1324"/>
      <c r="Q3" s="1324"/>
      <c r="R3" s="1324"/>
      <c r="S3" s="1324"/>
      <c r="T3" s="1324"/>
      <c r="U3" s="1324"/>
      <c r="V3" s="1324"/>
      <c r="W3" s="1324"/>
      <c r="X3" s="1324"/>
      <c r="Y3" s="1324"/>
      <c r="Z3" s="1324"/>
      <c r="AA3" s="1324"/>
      <c r="AB3" s="1324"/>
      <c r="AC3" s="1324"/>
      <c r="AD3" s="1324"/>
      <c r="AE3" s="1324"/>
      <c r="AF3" s="1324"/>
      <c r="AG3" s="1324"/>
      <c r="AH3" s="1324"/>
      <c r="AI3" s="1324"/>
      <c r="AJ3" s="1324"/>
      <c r="AK3" s="1324"/>
      <c r="AL3" s="1324"/>
    </row>
    <row r="4" spans="1:54" ht="15.75">
      <c r="A4" s="1324" t="s">
        <v>391</v>
      </c>
      <c r="B4" s="1324"/>
      <c r="C4" s="1324"/>
      <c r="D4" s="1324"/>
      <c r="E4" s="1324"/>
      <c r="F4" s="1324"/>
      <c r="G4" s="1324"/>
      <c r="H4" s="1324"/>
      <c r="I4" s="1324"/>
      <c r="J4" s="1324"/>
      <c r="K4" s="1324"/>
      <c r="L4" s="1324"/>
      <c r="M4" s="1324"/>
      <c r="N4" s="1324"/>
      <c r="O4" s="1324"/>
      <c r="P4" s="1324"/>
      <c r="Q4" s="1324"/>
      <c r="R4" s="1324"/>
      <c r="S4" s="1324"/>
      <c r="T4" s="1324"/>
      <c r="U4" s="1324"/>
      <c r="V4" s="1324"/>
      <c r="W4" s="1324"/>
      <c r="X4" s="1324"/>
      <c r="Y4" s="1324"/>
      <c r="Z4" s="1324"/>
      <c r="AA4" s="1324"/>
      <c r="AB4" s="1324"/>
      <c r="AC4" s="1324"/>
      <c r="AD4" s="1324"/>
      <c r="AE4" s="1324"/>
      <c r="AF4" s="1324"/>
      <c r="AG4" s="1324"/>
      <c r="AH4" s="1324"/>
      <c r="AI4" s="1324"/>
      <c r="AJ4" s="1324"/>
      <c r="AK4" s="1324"/>
      <c r="AL4" s="1324"/>
    </row>
    <row r="5" spans="1:54">
      <c r="AN5" s="58"/>
      <c r="AO5" s="58"/>
    </row>
    <row r="12" spans="1:54">
      <c r="AF12" s="564" t="str">
        <f>'General '!AI11</f>
        <v>UA Version 5/8/19</v>
      </c>
    </row>
    <row r="13" spans="1:54" ht="15.75">
      <c r="A13" s="2632" t="s">
        <v>403</v>
      </c>
      <c r="B13" s="2633"/>
      <c r="C13" s="2633"/>
      <c r="D13" s="2633"/>
      <c r="E13" s="2633"/>
      <c r="F13" s="2633"/>
      <c r="G13" s="2633"/>
      <c r="H13" s="2633"/>
      <c r="I13" s="2633"/>
      <c r="J13" s="2633"/>
      <c r="K13" s="2633"/>
      <c r="L13" s="2633"/>
      <c r="M13" s="2633"/>
      <c r="N13" s="2633"/>
      <c r="O13" s="2633"/>
      <c r="P13" s="2633"/>
      <c r="Q13" s="2633"/>
      <c r="R13" s="2633"/>
      <c r="S13" s="2633"/>
      <c r="T13" s="2633"/>
      <c r="U13" s="2633"/>
      <c r="V13" s="2633"/>
      <c r="W13" s="2633"/>
      <c r="X13" s="2633"/>
      <c r="Y13" s="2633"/>
      <c r="Z13" s="2633"/>
      <c r="AA13" s="2633"/>
      <c r="AB13" s="2633"/>
      <c r="AC13" s="2633"/>
      <c r="AD13" s="2633"/>
      <c r="AE13" s="2633"/>
      <c r="AF13" s="2633"/>
      <c r="AG13" s="2633"/>
      <c r="AH13" s="2633"/>
      <c r="AI13" s="2633"/>
      <c r="AJ13" s="2633"/>
      <c r="AK13" s="2633"/>
      <c r="AL13" s="2633"/>
      <c r="AV13" s="44"/>
      <c r="AW13" s="44"/>
    </row>
    <row r="14" spans="1:54">
      <c r="D14" s="1282"/>
      <c r="E14" s="1282"/>
      <c r="F14" s="1282"/>
      <c r="G14" s="1282"/>
      <c r="H14" s="1282"/>
      <c r="I14" s="1282"/>
      <c r="J14" s="1282"/>
      <c r="K14" s="1282"/>
      <c r="L14" s="1282"/>
      <c r="M14" s="1282"/>
      <c r="N14" s="1282"/>
      <c r="O14" s="1282"/>
      <c r="P14" s="1282"/>
      <c r="Q14" s="1282"/>
      <c r="R14" s="1282"/>
      <c r="S14" s="1282"/>
      <c r="T14" s="1282"/>
      <c r="U14" s="1282"/>
      <c r="V14" s="1282"/>
      <c r="W14" s="1282"/>
      <c r="X14" s="1282"/>
      <c r="Y14" s="1282"/>
      <c r="Z14" s="1282"/>
      <c r="AA14" s="1282"/>
      <c r="AB14" s="1282"/>
      <c r="AC14" s="1282"/>
      <c r="AD14" s="1282"/>
      <c r="AE14" s="1282"/>
      <c r="AF14" s="1282"/>
      <c r="AG14" s="1282"/>
      <c r="AH14" s="1282"/>
      <c r="AI14" s="1282"/>
      <c r="AJ14" s="1282"/>
      <c r="AK14" s="1282"/>
      <c r="AL14" s="1282"/>
    </row>
    <row r="15" spans="1:54" ht="57.75" customHeight="1">
      <c r="A15" s="228" t="s">
        <v>265</v>
      </c>
      <c r="C15" s="1311" t="s">
        <v>67</v>
      </c>
      <c r="D15" s="1310"/>
      <c r="E15" s="1310"/>
      <c r="F15" s="1310"/>
      <c r="G15" s="1310"/>
      <c r="H15" s="1310"/>
      <c r="I15" s="1310"/>
      <c r="J15" s="1310"/>
      <c r="K15" s="1310"/>
      <c r="L15" s="1310"/>
      <c r="M15" s="1310"/>
      <c r="N15" s="1310"/>
      <c r="O15" s="1310"/>
      <c r="P15" s="1310"/>
      <c r="Q15" s="1310"/>
      <c r="R15" s="1310"/>
      <c r="S15" s="1310"/>
      <c r="T15" s="1310"/>
      <c r="U15" s="1310"/>
      <c r="V15" s="1310"/>
      <c r="W15" s="1310"/>
      <c r="X15" s="1310"/>
      <c r="Y15" s="1310"/>
      <c r="Z15" s="1310"/>
      <c r="AA15" s="1310"/>
      <c r="AB15" s="1310"/>
      <c r="AC15" s="1310"/>
      <c r="AD15" s="1310"/>
      <c r="AE15" s="1310"/>
      <c r="AF15" s="1310"/>
      <c r="AG15" s="1310"/>
      <c r="AH15" s="1310"/>
      <c r="AI15" s="1310"/>
      <c r="AJ15" s="1310"/>
      <c r="AK15" s="1310"/>
      <c r="AL15" s="1310"/>
    </row>
    <row r="16" spans="1:54" ht="33.75" customHeight="1">
      <c r="A16" s="228" t="s">
        <v>266</v>
      </c>
      <c r="C16" s="1325" t="s">
        <v>0</v>
      </c>
      <c r="D16" s="1326"/>
      <c r="E16" s="1326"/>
      <c r="F16" s="1326"/>
      <c r="G16" s="1326"/>
      <c r="H16" s="1326"/>
      <c r="I16" s="1326"/>
      <c r="J16" s="1326"/>
      <c r="K16" s="1326"/>
      <c r="L16" s="1326"/>
      <c r="M16" s="1326"/>
      <c r="N16" s="1326"/>
      <c r="O16" s="1326"/>
      <c r="P16" s="1326"/>
      <c r="Q16" s="1326"/>
      <c r="R16" s="1326"/>
      <c r="S16" s="1326"/>
      <c r="T16" s="1326"/>
      <c r="U16" s="1326"/>
      <c r="V16" s="1326"/>
      <c r="W16" s="1326"/>
      <c r="X16" s="1326"/>
      <c r="Y16" s="1326"/>
      <c r="Z16" s="1326"/>
      <c r="AA16" s="1326"/>
      <c r="AB16" s="1326"/>
      <c r="AC16" s="1326"/>
      <c r="AD16" s="1326"/>
      <c r="AE16" s="1326"/>
      <c r="AF16" s="1326"/>
      <c r="AG16" s="1326"/>
      <c r="AH16" s="1326"/>
      <c r="AI16" s="1326"/>
      <c r="AJ16" s="1326"/>
      <c r="AK16" s="1326"/>
      <c r="AL16" s="1326"/>
    </row>
    <row r="17" spans="1:39" ht="35.25" customHeight="1">
      <c r="A17" s="228" t="s">
        <v>267</v>
      </c>
      <c r="C17" s="1311" t="s">
        <v>31</v>
      </c>
      <c r="D17" s="1311"/>
      <c r="E17" s="1311"/>
      <c r="F17" s="1311"/>
      <c r="G17" s="1311"/>
      <c r="H17" s="1311"/>
      <c r="I17" s="1311"/>
      <c r="J17" s="1311"/>
      <c r="K17" s="1311"/>
      <c r="L17" s="1311"/>
      <c r="M17" s="1311"/>
      <c r="N17" s="1311"/>
      <c r="O17" s="1311"/>
      <c r="P17" s="1311"/>
      <c r="Q17" s="1311"/>
      <c r="R17" s="1311"/>
      <c r="S17" s="1311"/>
      <c r="T17" s="1311"/>
      <c r="U17" s="1311"/>
      <c r="V17" s="1311"/>
      <c r="W17" s="1311"/>
      <c r="X17" s="1311"/>
      <c r="Y17" s="1311"/>
      <c r="Z17" s="1311"/>
      <c r="AA17" s="1311"/>
      <c r="AB17" s="1311"/>
      <c r="AC17" s="1311"/>
      <c r="AD17" s="1311"/>
      <c r="AE17" s="1311"/>
      <c r="AF17" s="1311"/>
      <c r="AG17" s="1311"/>
      <c r="AH17" s="1311"/>
      <c r="AI17" s="1311"/>
      <c r="AJ17" s="1311"/>
      <c r="AK17" s="1311"/>
      <c r="AL17" s="1311"/>
    </row>
    <row r="18" spans="1:39" ht="32.25" customHeight="1">
      <c r="A18" s="228" t="s">
        <v>268</v>
      </c>
      <c r="C18" s="1311" t="s">
        <v>71</v>
      </c>
      <c r="D18" s="1311"/>
      <c r="E18" s="1311"/>
      <c r="F18" s="1311"/>
      <c r="G18" s="1311"/>
      <c r="H18" s="1311"/>
      <c r="I18" s="1311"/>
      <c r="J18" s="1311"/>
      <c r="K18" s="1311"/>
      <c r="L18" s="1311"/>
      <c r="M18" s="1311"/>
      <c r="N18" s="1311"/>
      <c r="O18" s="1311"/>
      <c r="P18" s="1311"/>
      <c r="Q18" s="1311"/>
      <c r="R18" s="1311"/>
      <c r="S18" s="1311"/>
      <c r="T18" s="1311"/>
      <c r="U18" s="1311"/>
      <c r="V18" s="1311"/>
      <c r="W18" s="1311"/>
      <c r="X18" s="1311"/>
      <c r="Y18" s="1311"/>
      <c r="Z18" s="1311"/>
      <c r="AA18" s="1311"/>
      <c r="AB18" s="1311"/>
      <c r="AC18" s="1311"/>
      <c r="AD18" s="1311"/>
      <c r="AE18" s="1311"/>
      <c r="AF18" s="1311"/>
      <c r="AG18" s="1311"/>
      <c r="AH18" s="1311"/>
      <c r="AI18" s="1311"/>
      <c r="AJ18" s="1311"/>
      <c r="AK18" s="1311"/>
      <c r="AL18" s="1311"/>
    </row>
    <row r="19" spans="1:39" ht="40.5" customHeight="1">
      <c r="A19" s="228" t="s">
        <v>269</v>
      </c>
      <c r="C19" s="1310" t="s">
        <v>464</v>
      </c>
      <c r="D19" s="1310"/>
      <c r="E19" s="1310"/>
      <c r="F19" s="1310"/>
      <c r="G19" s="1310"/>
      <c r="H19" s="1310"/>
      <c r="I19" s="1310"/>
      <c r="J19" s="1310"/>
      <c r="K19" s="1310"/>
      <c r="L19" s="1310"/>
      <c r="M19" s="1310"/>
      <c r="N19" s="1310"/>
      <c r="O19" s="1310"/>
      <c r="P19" s="1310"/>
      <c r="Q19" s="1310"/>
      <c r="R19" s="1310"/>
      <c r="S19" s="1310"/>
      <c r="T19" s="1310"/>
      <c r="U19" s="1310"/>
      <c r="V19" s="1310"/>
      <c r="W19" s="1310"/>
      <c r="X19" s="1310"/>
      <c r="Y19" s="1310"/>
      <c r="Z19" s="1310"/>
      <c r="AA19" s="1310"/>
      <c r="AB19" s="1310"/>
      <c r="AC19" s="1310"/>
      <c r="AD19" s="1310"/>
      <c r="AE19" s="1310"/>
      <c r="AF19" s="1310"/>
      <c r="AG19" s="1310"/>
      <c r="AH19" s="1310"/>
      <c r="AI19" s="1310"/>
      <c r="AJ19" s="1310"/>
      <c r="AK19" s="1310"/>
      <c r="AL19" s="1310"/>
    </row>
    <row r="20" spans="1:39">
      <c r="A20" s="228" t="s">
        <v>270</v>
      </c>
      <c r="C20" s="1310" t="s">
        <v>15</v>
      </c>
      <c r="D20" s="1310"/>
      <c r="E20" s="1310"/>
      <c r="F20" s="1310"/>
      <c r="G20" s="1310"/>
      <c r="H20" s="1310"/>
      <c r="I20" s="1310"/>
      <c r="J20" s="1310"/>
      <c r="K20" s="1310"/>
      <c r="L20" s="1310"/>
      <c r="M20" s="1310"/>
      <c r="N20" s="1310"/>
      <c r="O20" s="1310"/>
      <c r="P20" s="1310"/>
      <c r="Q20" s="1310"/>
      <c r="R20" s="1310"/>
      <c r="S20" s="1310"/>
      <c r="T20" s="1310"/>
      <c r="U20" s="1310"/>
      <c r="V20" s="1310"/>
      <c r="W20" s="1310"/>
      <c r="X20" s="1310"/>
      <c r="Y20" s="1310"/>
      <c r="Z20" s="1310"/>
      <c r="AA20" s="1310"/>
      <c r="AB20" s="1310"/>
      <c r="AC20" s="1310"/>
      <c r="AD20" s="1310"/>
      <c r="AE20" s="1310"/>
      <c r="AF20" s="1310"/>
      <c r="AG20" s="1310"/>
      <c r="AH20" s="1310"/>
      <c r="AI20" s="1310"/>
      <c r="AJ20" s="1310"/>
      <c r="AK20" s="1310"/>
      <c r="AL20" s="1310"/>
    </row>
    <row r="21" spans="1:39">
      <c r="A21" s="228"/>
      <c r="C21" s="563"/>
      <c r="D21" s="563"/>
      <c r="E21" s="563"/>
      <c r="F21" s="563"/>
      <c r="G21" s="563"/>
      <c r="H21" s="563"/>
      <c r="I21" s="563"/>
      <c r="J21" s="563"/>
      <c r="K21" s="563"/>
      <c r="L21" s="563"/>
      <c r="M21" s="563"/>
      <c r="N21" s="563"/>
      <c r="O21" s="563"/>
      <c r="P21" s="563"/>
      <c r="Q21" s="563"/>
      <c r="R21" s="563"/>
      <c r="S21" s="563"/>
      <c r="T21" s="563"/>
      <c r="U21" s="563"/>
      <c r="V21" s="563"/>
      <c r="W21" s="563"/>
      <c r="X21" s="563"/>
      <c r="Y21" s="563"/>
      <c r="Z21" s="563"/>
      <c r="AA21" s="563"/>
      <c r="AB21" s="563"/>
      <c r="AC21" s="563"/>
      <c r="AD21" s="563"/>
      <c r="AE21" s="563"/>
      <c r="AF21" s="563"/>
      <c r="AG21" s="563"/>
      <c r="AH21" s="563"/>
      <c r="AI21" s="563"/>
      <c r="AJ21" s="563"/>
      <c r="AK21" s="563"/>
      <c r="AL21" s="563"/>
    </row>
    <row r="22" spans="1:39" ht="14.25" customHeight="1">
      <c r="A22" s="228"/>
      <c r="C22" s="1283" t="s">
        <v>13</v>
      </c>
      <c r="D22" s="1283"/>
      <c r="E22" s="1283"/>
      <c r="F22" s="1283"/>
      <c r="G22" s="1283"/>
      <c r="H22" s="1283"/>
      <c r="I22" s="1283"/>
      <c r="J22" s="1283"/>
      <c r="K22" s="1283"/>
      <c r="L22" s="1283"/>
      <c r="M22" s="1283"/>
      <c r="N22" s="1283"/>
      <c r="O22" s="1283"/>
      <c r="P22" s="1283"/>
      <c r="Q22" s="1283"/>
      <c r="R22" s="1283"/>
      <c r="S22" s="1283"/>
      <c r="T22" s="1283" t="s">
        <v>12</v>
      </c>
      <c r="U22" s="1283" t="s">
        <v>170</v>
      </c>
      <c r="V22" s="1283"/>
      <c r="W22" s="1283"/>
      <c r="X22" s="1283"/>
      <c r="Y22" s="1283"/>
      <c r="Z22" s="1283"/>
      <c r="AA22" s="1284" t="s">
        <v>11</v>
      </c>
      <c r="AB22" s="1284"/>
      <c r="AC22" s="1284"/>
      <c r="AD22" s="1284"/>
      <c r="AE22" s="1284"/>
      <c r="AF22" s="1285" t="s">
        <v>10</v>
      </c>
      <c r="AG22" s="1285"/>
      <c r="AH22" s="1285"/>
      <c r="AI22" s="1285"/>
      <c r="AJ22" s="1285"/>
      <c r="AK22" s="1285"/>
      <c r="AL22" s="1285"/>
    </row>
    <row r="23" spans="1:39" ht="24.75" customHeight="1">
      <c r="B23" s="72"/>
      <c r="C23" s="1317" t="s">
        <v>1057</v>
      </c>
      <c r="D23" s="1318"/>
      <c r="E23" s="1318"/>
      <c r="F23" s="1318"/>
      <c r="G23" s="1318"/>
      <c r="H23" s="1318"/>
      <c r="I23" s="1318"/>
      <c r="J23" s="1318"/>
      <c r="K23" s="1318"/>
      <c r="L23" s="1318"/>
      <c r="M23" s="1318"/>
      <c r="N23" s="1318"/>
      <c r="O23" s="1318"/>
      <c r="P23" s="1318"/>
      <c r="Q23" s="1318"/>
      <c r="R23" s="1318"/>
      <c r="S23" s="1318"/>
      <c r="T23" s="1295" t="s">
        <v>171</v>
      </c>
      <c r="U23" s="1296"/>
      <c r="V23" s="1296"/>
      <c r="W23" s="1296"/>
      <c r="X23" s="1296"/>
      <c r="Y23" s="1296"/>
      <c r="Z23" s="1297"/>
      <c r="AA23" s="1286">
        <v>9162636105</v>
      </c>
      <c r="AB23" s="1287"/>
      <c r="AC23" s="1287"/>
      <c r="AD23" s="1287"/>
      <c r="AE23" s="1288"/>
      <c r="AF23" s="1304" t="s">
        <v>169</v>
      </c>
      <c r="AG23" s="1304"/>
      <c r="AH23" s="1304"/>
      <c r="AI23" s="1304"/>
      <c r="AJ23" s="1304"/>
      <c r="AK23" s="1304"/>
      <c r="AL23" s="1305"/>
    </row>
    <row r="24" spans="1:39" ht="12.75" customHeight="1">
      <c r="A24" s="569"/>
      <c r="B24" s="569"/>
      <c r="C24" s="1321" t="s">
        <v>1058</v>
      </c>
      <c r="D24" s="1322"/>
      <c r="E24" s="1322"/>
      <c r="F24" s="1322"/>
      <c r="G24" s="1322"/>
      <c r="H24" s="1322"/>
      <c r="I24" s="1322"/>
      <c r="J24" s="1322"/>
      <c r="K24" s="1322"/>
      <c r="L24" s="1322"/>
      <c r="M24" s="1322"/>
      <c r="N24" s="1322"/>
      <c r="O24" s="1322"/>
      <c r="P24" s="1322"/>
      <c r="Q24" s="1322"/>
      <c r="R24" s="1322"/>
      <c r="S24" s="1322"/>
      <c r="T24" s="1298"/>
      <c r="U24" s="1299"/>
      <c r="V24" s="1299"/>
      <c r="W24" s="1299"/>
      <c r="X24" s="1299"/>
      <c r="Y24" s="1299"/>
      <c r="Z24" s="1300"/>
      <c r="AA24" s="1289"/>
      <c r="AB24" s="1290"/>
      <c r="AC24" s="1290"/>
      <c r="AD24" s="1290"/>
      <c r="AE24" s="1291"/>
      <c r="AF24" s="1306"/>
      <c r="AG24" s="1306"/>
      <c r="AH24" s="1306"/>
      <c r="AI24" s="1306"/>
      <c r="AJ24" s="1306"/>
      <c r="AK24" s="1306"/>
      <c r="AL24" s="1307"/>
      <c r="AM24" s="78"/>
    </row>
    <row r="25" spans="1:39" ht="12.75" customHeight="1">
      <c r="A25" s="569"/>
      <c r="B25" s="569"/>
      <c r="C25" s="1321" t="s">
        <v>1665</v>
      </c>
      <c r="D25" s="1322"/>
      <c r="E25" s="1322"/>
      <c r="F25" s="1322"/>
      <c r="G25" s="1322"/>
      <c r="H25" s="1322"/>
      <c r="I25" s="1322"/>
      <c r="J25" s="1322"/>
      <c r="K25" s="1322"/>
      <c r="L25" s="1322"/>
      <c r="M25" s="1322"/>
      <c r="N25" s="1322"/>
      <c r="O25" s="1322"/>
      <c r="P25" s="1322"/>
      <c r="Q25" s="1322"/>
      <c r="R25" s="1322"/>
      <c r="S25" s="1322"/>
      <c r="T25" s="1298"/>
      <c r="U25" s="1299"/>
      <c r="V25" s="1299"/>
      <c r="W25" s="1299"/>
      <c r="X25" s="1299"/>
      <c r="Y25" s="1299"/>
      <c r="Z25" s="1300"/>
      <c r="AA25" s="1289"/>
      <c r="AB25" s="1290"/>
      <c r="AC25" s="1290"/>
      <c r="AD25" s="1290"/>
      <c r="AE25" s="1291"/>
      <c r="AF25" s="1306"/>
      <c r="AG25" s="1306"/>
      <c r="AH25" s="1306"/>
      <c r="AI25" s="1306"/>
      <c r="AJ25" s="1306"/>
      <c r="AK25" s="1306"/>
      <c r="AL25" s="1307"/>
      <c r="AM25" s="78"/>
    </row>
    <row r="26" spans="1:39" ht="12.75" customHeight="1">
      <c r="A26" s="569"/>
      <c r="B26" s="569"/>
      <c r="C26" s="1314" t="s">
        <v>1664</v>
      </c>
      <c r="D26" s="1315"/>
      <c r="E26" s="1315"/>
      <c r="F26" s="1315"/>
      <c r="G26" s="1315"/>
      <c r="H26" s="1315"/>
      <c r="I26" s="1315"/>
      <c r="J26" s="1315"/>
      <c r="K26" s="1315"/>
      <c r="L26" s="1315"/>
      <c r="M26" s="1315"/>
      <c r="N26" s="1315"/>
      <c r="O26" s="1315"/>
      <c r="P26" s="1315"/>
      <c r="Q26" s="1315"/>
      <c r="R26" s="1315"/>
      <c r="S26" s="1316"/>
      <c r="T26" s="1298"/>
      <c r="U26" s="1299"/>
      <c r="V26" s="1299"/>
      <c r="W26" s="1299"/>
      <c r="X26" s="1299"/>
      <c r="Y26" s="1299"/>
      <c r="Z26" s="1300"/>
      <c r="AA26" s="1289"/>
      <c r="AB26" s="1290"/>
      <c r="AC26" s="1290"/>
      <c r="AD26" s="1290"/>
      <c r="AE26" s="1291"/>
      <c r="AF26" s="1306"/>
      <c r="AG26" s="1306"/>
      <c r="AH26" s="1306"/>
      <c r="AI26" s="1306"/>
      <c r="AJ26" s="1306"/>
      <c r="AK26" s="1306"/>
      <c r="AL26" s="1307"/>
      <c r="AM26" s="78"/>
    </row>
    <row r="27" spans="1:39" ht="12.75" customHeight="1">
      <c r="B27" s="72"/>
      <c r="C27" s="1314" t="s">
        <v>1064</v>
      </c>
      <c r="D27" s="1315"/>
      <c r="E27" s="1315"/>
      <c r="F27" s="1315"/>
      <c r="G27" s="1315"/>
      <c r="H27" s="1315"/>
      <c r="I27" s="1315"/>
      <c r="J27" s="1315"/>
      <c r="K27" s="1315"/>
      <c r="L27" s="1315"/>
      <c r="M27" s="1315"/>
      <c r="N27" s="1315"/>
      <c r="O27" s="1315"/>
      <c r="P27" s="1315"/>
      <c r="Q27" s="1315"/>
      <c r="R27" s="1315"/>
      <c r="S27" s="1316"/>
      <c r="T27" s="1298"/>
      <c r="U27" s="1299"/>
      <c r="V27" s="1299"/>
      <c r="W27" s="1299"/>
      <c r="X27" s="1299"/>
      <c r="Y27" s="1299"/>
      <c r="Z27" s="1300"/>
      <c r="AA27" s="1289"/>
      <c r="AB27" s="1290"/>
      <c r="AC27" s="1290"/>
      <c r="AD27" s="1290"/>
      <c r="AE27" s="1291"/>
      <c r="AF27" s="1306"/>
      <c r="AG27" s="1306"/>
      <c r="AH27" s="1306"/>
      <c r="AI27" s="1306"/>
      <c r="AJ27" s="1306"/>
      <c r="AK27" s="1306"/>
      <c r="AL27" s="1307"/>
      <c r="AM27" s="78"/>
    </row>
    <row r="28" spans="1:39" ht="12.75" customHeight="1">
      <c r="B28" s="72"/>
      <c r="C28" s="1314" t="s">
        <v>1063</v>
      </c>
      <c r="D28" s="1315"/>
      <c r="E28" s="1315"/>
      <c r="F28" s="1315"/>
      <c r="G28" s="1315"/>
      <c r="H28" s="1315"/>
      <c r="I28" s="1315"/>
      <c r="J28" s="1315"/>
      <c r="K28" s="1315"/>
      <c r="L28" s="1315"/>
      <c r="M28" s="1315"/>
      <c r="N28" s="1315"/>
      <c r="O28" s="1315"/>
      <c r="P28" s="1315"/>
      <c r="Q28" s="1315"/>
      <c r="R28" s="1315"/>
      <c r="S28" s="1316"/>
      <c r="T28" s="1298"/>
      <c r="U28" s="1299"/>
      <c r="V28" s="1299"/>
      <c r="W28" s="1299"/>
      <c r="X28" s="1299"/>
      <c r="Y28" s="1299"/>
      <c r="Z28" s="1300"/>
      <c r="AA28" s="1289"/>
      <c r="AB28" s="1290"/>
      <c r="AC28" s="1290"/>
      <c r="AD28" s="1290"/>
      <c r="AE28" s="1291"/>
      <c r="AF28" s="1306"/>
      <c r="AG28" s="1306"/>
      <c r="AH28" s="1306"/>
      <c r="AI28" s="1306"/>
      <c r="AJ28" s="1306"/>
      <c r="AK28" s="1306"/>
      <c r="AL28" s="1307"/>
      <c r="AM28" s="78"/>
    </row>
    <row r="29" spans="1:39" ht="12.75" customHeight="1">
      <c r="B29" s="72"/>
      <c r="C29" s="1319" t="s">
        <v>1062</v>
      </c>
      <c r="D29" s="1320"/>
      <c r="E29" s="1320"/>
      <c r="F29" s="1320"/>
      <c r="G29" s="1320"/>
      <c r="H29" s="1320"/>
      <c r="I29" s="1320"/>
      <c r="J29" s="1320"/>
      <c r="K29" s="1320"/>
      <c r="L29" s="1320"/>
      <c r="M29" s="1320"/>
      <c r="N29" s="1320"/>
      <c r="O29" s="1320"/>
      <c r="P29" s="1320"/>
      <c r="Q29" s="1320"/>
      <c r="R29" s="1320"/>
      <c r="S29" s="1320"/>
      <c r="T29" s="1298"/>
      <c r="U29" s="1299"/>
      <c r="V29" s="1299"/>
      <c r="W29" s="1299"/>
      <c r="X29" s="1299"/>
      <c r="Y29" s="1299"/>
      <c r="Z29" s="1300"/>
      <c r="AA29" s="1289"/>
      <c r="AB29" s="1290"/>
      <c r="AC29" s="1290"/>
      <c r="AD29" s="1290"/>
      <c r="AE29" s="1291"/>
      <c r="AF29" s="1306"/>
      <c r="AG29" s="1306"/>
      <c r="AH29" s="1306"/>
      <c r="AI29" s="1306"/>
      <c r="AJ29" s="1306"/>
      <c r="AK29" s="1306"/>
      <c r="AL29" s="1307"/>
      <c r="AM29" s="78"/>
    </row>
    <row r="30" spans="1:39" ht="12.75" customHeight="1">
      <c r="B30" s="72"/>
      <c r="C30" s="1319" t="s">
        <v>1061</v>
      </c>
      <c r="D30" s="1320"/>
      <c r="E30" s="1320"/>
      <c r="F30" s="1320"/>
      <c r="G30" s="1320"/>
      <c r="H30" s="1320"/>
      <c r="I30" s="1320"/>
      <c r="J30" s="1320"/>
      <c r="K30" s="1320"/>
      <c r="L30" s="1320"/>
      <c r="M30" s="1320"/>
      <c r="N30" s="1320"/>
      <c r="O30" s="1320"/>
      <c r="P30" s="1320"/>
      <c r="Q30" s="1320"/>
      <c r="R30" s="1320"/>
      <c r="S30" s="1316"/>
      <c r="T30" s="1298"/>
      <c r="U30" s="1299"/>
      <c r="V30" s="1299"/>
      <c r="W30" s="1299"/>
      <c r="X30" s="1299"/>
      <c r="Y30" s="1299"/>
      <c r="Z30" s="1300"/>
      <c r="AA30" s="1289"/>
      <c r="AB30" s="1290"/>
      <c r="AC30" s="1290"/>
      <c r="AD30" s="1290"/>
      <c r="AE30" s="1291"/>
      <c r="AF30" s="1306"/>
      <c r="AG30" s="1306"/>
      <c r="AH30" s="1306"/>
      <c r="AI30" s="1306"/>
      <c r="AJ30" s="1306"/>
      <c r="AK30" s="1306"/>
      <c r="AL30" s="1307"/>
      <c r="AM30" s="78"/>
    </row>
    <row r="31" spans="1:39" ht="12.75" customHeight="1">
      <c r="B31" s="72"/>
      <c r="C31" s="1319" t="s">
        <v>1065</v>
      </c>
      <c r="D31" s="1320"/>
      <c r="E31" s="1320"/>
      <c r="F31" s="1320"/>
      <c r="G31" s="1320"/>
      <c r="H31" s="1320"/>
      <c r="I31" s="1320"/>
      <c r="J31" s="1320"/>
      <c r="K31" s="1320"/>
      <c r="L31" s="1320"/>
      <c r="M31" s="1320"/>
      <c r="N31" s="1320"/>
      <c r="O31" s="1320"/>
      <c r="P31" s="1320"/>
      <c r="Q31" s="1320"/>
      <c r="R31" s="1320"/>
      <c r="S31" s="1320"/>
      <c r="T31" s="1298"/>
      <c r="U31" s="1299"/>
      <c r="V31" s="1299"/>
      <c r="W31" s="1299"/>
      <c r="X31" s="1299"/>
      <c r="Y31" s="1299"/>
      <c r="Z31" s="1300"/>
      <c r="AA31" s="1289"/>
      <c r="AB31" s="1290"/>
      <c r="AC31" s="1290"/>
      <c r="AD31" s="1290"/>
      <c r="AE31" s="1291"/>
      <c r="AF31" s="1306"/>
      <c r="AG31" s="1306"/>
      <c r="AH31" s="1306"/>
      <c r="AI31" s="1306"/>
      <c r="AJ31" s="1306"/>
      <c r="AK31" s="1306"/>
      <c r="AL31" s="1307"/>
    </row>
    <row r="32" spans="1:39" ht="12.75" customHeight="1">
      <c r="B32" s="72"/>
      <c r="C32" s="1319" t="s">
        <v>1365</v>
      </c>
      <c r="D32" s="1320"/>
      <c r="E32" s="1320"/>
      <c r="F32" s="1320"/>
      <c r="G32" s="1320"/>
      <c r="H32" s="1320"/>
      <c r="I32" s="1320"/>
      <c r="J32" s="1320"/>
      <c r="K32" s="1320"/>
      <c r="L32" s="1320"/>
      <c r="M32" s="1320"/>
      <c r="N32" s="1320"/>
      <c r="O32" s="1320"/>
      <c r="P32" s="1320"/>
      <c r="Q32" s="1320"/>
      <c r="R32" s="1320"/>
      <c r="S32" s="1320"/>
      <c r="T32" s="1298"/>
      <c r="U32" s="1299"/>
      <c r="V32" s="1299"/>
      <c r="W32" s="1299"/>
      <c r="X32" s="1299"/>
      <c r="Y32" s="1299"/>
      <c r="Z32" s="1300"/>
      <c r="AA32" s="1289"/>
      <c r="AB32" s="1290"/>
      <c r="AC32" s="1290"/>
      <c r="AD32" s="1290"/>
      <c r="AE32" s="1291"/>
      <c r="AF32" s="1306"/>
      <c r="AG32" s="1306"/>
      <c r="AH32" s="1306"/>
      <c r="AI32" s="1306"/>
      <c r="AJ32" s="1306"/>
      <c r="AK32" s="1306"/>
      <c r="AL32" s="1307"/>
    </row>
    <row r="33" spans="1:38" ht="12.75" customHeight="1">
      <c r="B33" s="72"/>
      <c r="C33" s="1319" t="s">
        <v>1066</v>
      </c>
      <c r="D33" s="1320"/>
      <c r="E33" s="1320"/>
      <c r="F33" s="1320"/>
      <c r="G33" s="1320"/>
      <c r="H33" s="1320"/>
      <c r="I33" s="1320"/>
      <c r="J33" s="1320"/>
      <c r="K33" s="1320"/>
      <c r="L33" s="1320"/>
      <c r="M33" s="1320"/>
      <c r="N33" s="1320"/>
      <c r="O33" s="1320"/>
      <c r="P33" s="1320"/>
      <c r="Q33" s="1320"/>
      <c r="R33" s="1320"/>
      <c r="S33" s="1320"/>
      <c r="T33" s="1298"/>
      <c r="U33" s="1299"/>
      <c r="V33" s="1299"/>
      <c r="W33" s="1299"/>
      <c r="X33" s="1299"/>
      <c r="Y33" s="1299"/>
      <c r="Z33" s="1300"/>
      <c r="AA33" s="1289"/>
      <c r="AB33" s="1290"/>
      <c r="AC33" s="1290"/>
      <c r="AD33" s="1290"/>
      <c r="AE33" s="1291"/>
      <c r="AF33" s="1306"/>
      <c r="AG33" s="1306"/>
      <c r="AH33" s="1306"/>
      <c r="AI33" s="1306"/>
      <c r="AJ33" s="1306"/>
      <c r="AK33" s="1306"/>
      <c r="AL33" s="1307"/>
    </row>
    <row r="34" spans="1:38" ht="12.75" customHeight="1">
      <c r="B34" s="72"/>
      <c r="C34" s="1319" t="s">
        <v>1060</v>
      </c>
      <c r="D34" s="1320"/>
      <c r="E34" s="1320"/>
      <c r="F34" s="1320"/>
      <c r="G34" s="1320"/>
      <c r="H34" s="1320"/>
      <c r="I34" s="1320"/>
      <c r="J34" s="1320"/>
      <c r="K34" s="1320"/>
      <c r="L34" s="1320"/>
      <c r="M34" s="1320"/>
      <c r="N34" s="1320"/>
      <c r="O34" s="1320"/>
      <c r="P34" s="1320"/>
      <c r="Q34" s="1320"/>
      <c r="R34" s="1320"/>
      <c r="S34" s="1320"/>
      <c r="T34" s="1298"/>
      <c r="U34" s="1299"/>
      <c r="V34" s="1299"/>
      <c r="W34" s="1299"/>
      <c r="X34" s="1299"/>
      <c r="Y34" s="1299"/>
      <c r="Z34" s="1300"/>
      <c r="AA34" s="1289"/>
      <c r="AB34" s="1290"/>
      <c r="AC34" s="1290"/>
      <c r="AD34" s="1290"/>
      <c r="AE34" s="1291"/>
      <c r="AF34" s="1306"/>
      <c r="AG34" s="1306"/>
      <c r="AH34" s="1306"/>
      <c r="AI34" s="1306"/>
      <c r="AJ34" s="1306"/>
      <c r="AK34" s="1306"/>
      <c r="AL34" s="1307"/>
    </row>
    <row r="35" spans="1:38" ht="12.75" customHeight="1">
      <c r="A35" s="569"/>
      <c r="B35" s="569"/>
      <c r="C35" s="1312" t="s">
        <v>1059</v>
      </c>
      <c r="D35" s="1313"/>
      <c r="E35" s="1313"/>
      <c r="F35" s="1313"/>
      <c r="G35" s="1313"/>
      <c r="H35" s="1313"/>
      <c r="I35" s="1313"/>
      <c r="J35" s="1313"/>
      <c r="K35" s="1313"/>
      <c r="L35" s="1313"/>
      <c r="M35" s="1313"/>
      <c r="N35" s="1313"/>
      <c r="O35" s="1313"/>
      <c r="P35" s="1313"/>
      <c r="Q35" s="1313"/>
      <c r="R35" s="1313"/>
      <c r="S35" s="1313"/>
      <c r="T35" s="1301"/>
      <c r="U35" s="1302"/>
      <c r="V35" s="1302"/>
      <c r="W35" s="1302"/>
      <c r="X35" s="1302"/>
      <c r="Y35" s="1302"/>
      <c r="Z35" s="1303"/>
      <c r="AA35" s="1292"/>
      <c r="AB35" s="1293"/>
      <c r="AC35" s="1293"/>
      <c r="AD35" s="1293"/>
      <c r="AE35" s="1294"/>
      <c r="AF35" s="1308"/>
      <c r="AG35" s="1308"/>
      <c r="AH35" s="1308"/>
      <c r="AI35" s="1308"/>
      <c r="AJ35" s="1308"/>
      <c r="AK35" s="1308"/>
      <c r="AL35" s="1309"/>
    </row>
    <row r="36" spans="1:38" ht="12.75" customHeight="1">
      <c r="B36" s="72"/>
      <c r="C36" s="1327" t="s">
        <v>14</v>
      </c>
      <c r="D36" s="1328"/>
      <c r="E36" s="1328"/>
      <c r="F36" s="1328"/>
      <c r="G36" s="1328"/>
      <c r="H36" s="1328"/>
      <c r="I36" s="1328"/>
      <c r="J36" s="1328"/>
      <c r="K36" s="1328"/>
      <c r="L36" s="1328"/>
      <c r="M36" s="1328"/>
      <c r="N36" s="1328"/>
      <c r="O36" s="1328"/>
      <c r="P36" s="1328"/>
      <c r="Q36" s="1328"/>
      <c r="R36" s="1328"/>
      <c r="S36" s="1328"/>
      <c r="T36" s="1336" t="s">
        <v>172</v>
      </c>
      <c r="U36" s="1337" t="s">
        <v>170</v>
      </c>
      <c r="V36" s="1337"/>
      <c r="W36" s="1337"/>
      <c r="X36" s="1337"/>
      <c r="Y36" s="1337"/>
      <c r="Z36" s="1338"/>
      <c r="AA36" s="1330">
        <v>9163268811</v>
      </c>
      <c r="AB36" s="1331"/>
      <c r="AC36" s="1331"/>
      <c r="AD36" s="1331"/>
      <c r="AE36" s="1332"/>
      <c r="AF36" s="1304" t="s">
        <v>173</v>
      </c>
      <c r="AG36" s="1304"/>
      <c r="AH36" s="1304"/>
      <c r="AI36" s="1304"/>
      <c r="AJ36" s="1304"/>
      <c r="AK36" s="1304"/>
      <c r="AL36" s="1305"/>
    </row>
    <row r="37" spans="1:38" ht="24.75" customHeight="1">
      <c r="B37" s="72"/>
      <c r="C37" s="1327" t="s">
        <v>69</v>
      </c>
      <c r="D37" s="1328"/>
      <c r="E37" s="1328"/>
      <c r="F37" s="1328"/>
      <c r="G37" s="1328"/>
      <c r="H37" s="1328"/>
      <c r="I37" s="1328"/>
      <c r="J37" s="1328"/>
      <c r="K37" s="1328"/>
      <c r="L37" s="1328"/>
      <c r="M37" s="1328"/>
      <c r="N37" s="1328"/>
      <c r="O37" s="1328"/>
      <c r="P37" s="1328"/>
      <c r="Q37" s="1328"/>
      <c r="R37" s="1328"/>
      <c r="S37" s="1328"/>
      <c r="T37" s="1336" t="s">
        <v>174</v>
      </c>
      <c r="U37" s="1337" t="s">
        <v>170</v>
      </c>
      <c r="V37" s="1337"/>
      <c r="W37" s="1337"/>
      <c r="X37" s="1337"/>
      <c r="Y37" s="1337"/>
      <c r="Z37" s="1338"/>
      <c r="AA37" s="1330">
        <v>9166533461</v>
      </c>
      <c r="AB37" s="1331"/>
      <c r="AC37" s="1331"/>
      <c r="AD37" s="1331"/>
      <c r="AE37" s="1332"/>
      <c r="AF37" s="1304" t="s">
        <v>175</v>
      </c>
      <c r="AG37" s="1304"/>
      <c r="AH37" s="1304"/>
      <c r="AI37" s="1304"/>
      <c r="AJ37" s="1304"/>
      <c r="AK37" s="1304"/>
      <c r="AL37" s="1305"/>
    </row>
    <row r="38" spans="1:38" ht="24.75" customHeight="1">
      <c r="B38" s="72"/>
      <c r="C38" s="1327" t="s">
        <v>70</v>
      </c>
      <c r="D38" s="1328"/>
      <c r="E38" s="1328"/>
      <c r="F38" s="1328"/>
      <c r="G38" s="1328"/>
      <c r="H38" s="1328"/>
      <c r="I38" s="1328"/>
      <c r="J38" s="1328"/>
      <c r="K38" s="1328"/>
      <c r="L38" s="1328"/>
      <c r="M38" s="1328"/>
      <c r="N38" s="1328"/>
      <c r="O38" s="1328"/>
      <c r="P38" s="1328"/>
      <c r="Q38" s="1328"/>
      <c r="R38" s="1328"/>
      <c r="S38" s="1329"/>
      <c r="T38" s="1336" t="s">
        <v>253</v>
      </c>
      <c r="U38" s="1337" t="s">
        <v>170</v>
      </c>
      <c r="V38" s="1337"/>
      <c r="W38" s="1337"/>
      <c r="X38" s="1337"/>
      <c r="Y38" s="1337"/>
      <c r="Z38" s="1338"/>
      <c r="AA38" s="1330">
        <v>9166546340</v>
      </c>
      <c r="AB38" s="1331"/>
      <c r="AC38" s="1331"/>
      <c r="AD38" s="1331"/>
      <c r="AE38" s="1332"/>
      <c r="AF38" s="1333" t="s">
        <v>254</v>
      </c>
      <c r="AG38" s="1334"/>
      <c r="AH38" s="1334"/>
      <c r="AI38" s="1334"/>
      <c r="AJ38" s="1334"/>
      <c r="AK38" s="1334"/>
      <c r="AL38" s="1335"/>
    </row>
    <row r="40" spans="1:38">
      <c r="D40" s="1282"/>
      <c r="E40" s="1282"/>
      <c r="F40" s="1282"/>
      <c r="G40" s="1282"/>
      <c r="H40" s="1282"/>
      <c r="I40" s="1282"/>
      <c r="J40" s="1282"/>
      <c r="K40" s="1282"/>
      <c r="L40" s="1282"/>
      <c r="M40" s="1282"/>
      <c r="N40" s="1282"/>
      <c r="O40" s="1282"/>
      <c r="P40" s="1282"/>
      <c r="Q40" s="1282"/>
      <c r="R40" s="1282"/>
      <c r="S40" s="1282"/>
      <c r="T40" s="1282"/>
      <c r="U40" s="1282"/>
      <c r="V40" s="1282"/>
      <c r="W40" s="1282"/>
      <c r="X40" s="1282"/>
      <c r="Y40" s="1282"/>
      <c r="Z40" s="1282"/>
      <c r="AA40" s="1282"/>
      <c r="AB40" s="1282"/>
      <c r="AC40" s="1282"/>
      <c r="AD40" s="1282"/>
      <c r="AE40" s="1282"/>
      <c r="AF40" s="1282"/>
      <c r="AG40" s="1282"/>
      <c r="AH40" s="1282"/>
      <c r="AI40" s="1282"/>
      <c r="AJ40" s="1282"/>
      <c r="AK40" s="1282"/>
      <c r="AL40" s="1282"/>
    </row>
    <row r="41" spans="1:38">
      <c r="D41" s="1282"/>
      <c r="E41" s="1282"/>
      <c r="F41" s="1282"/>
      <c r="G41" s="1282"/>
      <c r="H41" s="1282"/>
      <c r="I41" s="1282"/>
      <c r="J41" s="1282"/>
      <c r="K41" s="1282"/>
      <c r="L41" s="1282"/>
      <c r="M41" s="1282"/>
      <c r="N41" s="1282"/>
      <c r="O41" s="1282"/>
      <c r="P41" s="1282"/>
      <c r="Q41" s="1282"/>
      <c r="R41" s="1282"/>
      <c r="S41" s="1282"/>
      <c r="T41" s="1282"/>
      <c r="U41" s="1282"/>
      <c r="V41" s="1282"/>
      <c r="W41" s="1282"/>
      <c r="X41" s="1282"/>
      <c r="Y41" s="1282"/>
      <c r="Z41" s="1282"/>
      <c r="AA41" s="1282"/>
      <c r="AB41" s="1282"/>
      <c r="AC41" s="1282"/>
      <c r="AD41" s="1282"/>
      <c r="AE41" s="1282"/>
      <c r="AF41" s="1282"/>
      <c r="AG41" s="1282"/>
      <c r="AH41" s="1282"/>
      <c r="AI41" s="1282"/>
      <c r="AJ41" s="1282"/>
      <c r="AK41" s="1282"/>
      <c r="AL41" s="1282"/>
    </row>
    <row r="43" spans="1:38">
      <c r="D43" s="1282"/>
      <c r="E43" s="1282"/>
      <c r="F43" s="1282"/>
      <c r="G43" s="1282"/>
      <c r="H43" s="1282"/>
      <c r="I43" s="1282"/>
      <c r="J43" s="1282"/>
      <c r="K43" s="1282"/>
      <c r="L43" s="1282"/>
      <c r="M43" s="1282"/>
      <c r="N43" s="1282"/>
      <c r="O43" s="1282"/>
      <c r="P43" s="1282"/>
      <c r="Q43" s="1282"/>
      <c r="R43" s="1282"/>
      <c r="S43" s="1282"/>
      <c r="T43" s="1282"/>
      <c r="U43" s="1282"/>
      <c r="V43" s="1282"/>
      <c r="W43" s="1282"/>
      <c r="X43" s="1282"/>
      <c r="Y43" s="1282"/>
      <c r="Z43" s="1282"/>
      <c r="AA43" s="1282"/>
      <c r="AB43" s="1282"/>
      <c r="AC43" s="1282"/>
      <c r="AD43" s="1282"/>
      <c r="AE43" s="1282"/>
      <c r="AF43" s="1282"/>
      <c r="AG43" s="1282"/>
      <c r="AH43" s="1282"/>
      <c r="AI43" s="1282"/>
      <c r="AJ43" s="1282"/>
      <c r="AK43" s="1282"/>
      <c r="AL43" s="1282"/>
    </row>
    <row r="44" spans="1:38">
      <c r="D44" s="1282"/>
      <c r="E44" s="1282"/>
      <c r="F44" s="1282"/>
      <c r="G44" s="1282"/>
      <c r="H44" s="1282"/>
      <c r="I44" s="1282"/>
      <c r="J44" s="1282"/>
      <c r="K44" s="1282"/>
      <c r="L44" s="1282"/>
      <c r="M44" s="1282"/>
      <c r="N44" s="1282"/>
      <c r="O44" s="1282"/>
      <c r="P44" s="1282"/>
      <c r="Q44" s="1282"/>
      <c r="R44" s="1282"/>
      <c r="S44" s="1282"/>
      <c r="T44" s="1282"/>
      <c r="U44" s="1282"/>
      <c r="V44" s="1282"/>
      <c r="W44" s="1282"/>
      <c r="X44" s="1282"/>
      <c r="Y44" s="1282"/>
      <c r="Z44" s="1282"/>
      <c r="AA44" s="1282"/>
      <c r="AB44" s="1282"/>
      <c r="AC44" s="1282"/>
      <c r="AD44" s="1282"/>
      <c r="AE44" s="1282"/>
      <c r="AF44" s="1282"/>
      <c r="AG44" s="1282"/>
      <c r="AH44" s="1282"/>
      <c r="AI44" s="1282"/>
      <c r="AJ44" s="1282"/>
      <c r="AK44" s="1282"/>
      <c r="AL44" s="1282"/>
    </row>
    <row r="45" spans="1:38">
      <c r="D45" s="1282"/>
      <c r="E45" s="1282"/>
      <c r="F45" s="1282"/>
      <c r="G45" s="1282"/>
      <c r="H45" s="1282"/>
      <c r="I45" s="1282"/>
      <c r="J45" s="1282"/>
      <c r="K45" s="1282"/>
      <c r="L45" s="1282"/>
      <c r="M45" s="1282"/>
      <c r="N45" s="1282"/>
      <c r="O45" s="1282"/>
      <c r="P45" s="1282"/>
      <c r="Q45" s="1282"/>
      <c r="R45" s="1282"/>
      <c r="S45" s="1282"/>
      <c r="T45" s="1282"/>
      <c r="U45" s="1282"/>
      <c r="V45" s="1282"/>
      <c r="W45" s="1282"/>
      <c r="X45" s="1282"/>
      <c r="Y45" s="1282"/>
      <c r="Z45" s="1282"/>
      <c r="AA45" s="1282"/>
      <c r="AB45" s="1282"/>
      <c r="AC45" s="1282"/>
      <c r="AD45" s="1282"/>
      <c r="AE45" s="1282"/>
      <c r="AF45" s="1282"/>
      <c r="AG45" s="1282"/>
      <c r="AH45" s="1282"/>
      <c r="AI45" s="1282"/>
      <c r="AJ45" s="1282"/>
      <c r="AK45" s="1282"/>
      <c r="AL45" s="1282"/>
    </row>
    <row r="46" spans="1:38">
      <c r="D46" s="1282"/>
      <c r="E46" s="1282"/>
      <c r="F46" s="1282"/>
      <c r="G46" s="1282"/>
      <c r="H46" s="1282"/>
      <c r="I46" s="1282"/>
      <c r="J46" s="1282"/>
      <c r="K46" s="1282"/>
      <c r="L46" s="1282"/>
      <c r="M46" s="1282"/>
      <c r="N46" s="1282"/>
      <c r="O46" s="1282"/>
      <c r="P46" s="1282"/>
      <c r="Q46" s="1282"/>
      <c r="R46" s="1282"/>
      <c r="S46" s="1282"/>
      <c r="T46" s="1282"/>
      <c r="U46" s="1282"/>
      <c r="V46" s="1282"/>
      <c r="W46" s="1282"/>
      <c r="X46" s="1282"/>
      <c r="Y46" s="1282"/>
      <c r="Z46" s="1282"/>
      <c r="AA46" s="1282"/>
      <c r="AB46" s="1282"/>
      <c r="AC46" s="1282"/>
      <c r="AD46" s="1282"/>
      <c r="AE46" s="1282"/>
      <c r="AF46" s="1282"/>
      <c r="AG46" s="1282"/>
      <c r="AH46" s="1282"/>
      <c r="AI46" s="1282"/>
      <c r="AJ46" s="1282"/>
      <c r="AK46" s="1282"/>
      <c r="AL46" s="1282"/>
    </row>
    <row r="47" spans="1:38">
      <c r="D47" s="1282"/>
      <c r="E47" s="1282"/>
      <c r="F47" s="1282"/>
      <c r="G47" s="1282"/>
      <c r="H47" s="1282"/>
      <c r="I47" s="1282"/>
      <c r="J47" s="1282"/>
      <c r="K47" s="1282"/>
      <c r="L47" s="1282"/>
      <c r="M47" s="1282"/>
      <c r="N47" s="1282"/>
      <c r="O47" s="1282"/>
      <c r="P47" s="1282"/>
      <c r="Q47" s="1282"/>
      <c r="R47" s="1282"/>
      <c r="S47" s="1282"/>
      <c r="T47" s="1282"/>
      <c r="U47" s="1282"/>
      <c r="V47" s="1282"/>
      <c r="W47" s="1282"/>
      <c r="X47" s="1282"/>
      <c r="Y47" s="1282"/>
      <c r="Z47" s="1282"/>
      <c r="AA47" s="1282"/>
      <c r="AB47" s="1282"/>
      <c r="AC47" s="1282"/>
      <c r="AD47" s="1282"/>
      <c r="AE47" s="1282"/>
      <c r="AF47" s="1282"/>
      <c r="AG47" s="1282"/>
      <c r="AH47" s="1282"/>
      <c r="AI47" s="1282"/>
      <c r="AJ47" s="1282"/>
      <c r="AK47" s="1282"/>
      <c r="AL47" s="1282"/>
    </row>
    <row r="48" spans="1:38">
      <c r="D48" s="1282"/>
      <c r="E48" s="1282"/>
      <c r="F48" s="1282"/>
      <c r="G48" s="1282"/>
      <c r="H48" s="1282"/>
      <c r="I48" s="1282"/>
      <c r="J48" s="1282"/>
      <c r="K48" s="1282"/>
      <c r="L48" s="1282"/>
      <c r="M48" s="1282"/>
      <c r="N48" s="1282"/>
      <c r="O48" s="1282"/>
      <c r="P48" s="1282"/>
      <c r="Q48" s="1282"/>
      <c r="R48" s="1282"/>
      <c r="S48" s="1282"/>
      <c r="T48" s="1282"/>
      <c r="U48" s="1282"/>
      <c r="V48" s="1282"/>
      <c r="W48" s="1282"/>
      <c r="X48" s="1282"/>
      <c r="Y48" s="1282"/>
      <c r="Z48" s="1282"/>
      <c r="AA48" s="1282"/>
      <c r="AB48" s="1282"/>
      <c r="AC48" s="1282"/>
      <c r="AD48" s="1282"/>
      <c r="AE48" s="1282"/>
      <c r="AF48" s="1282"/>
      <c r="AG48" s="1282"/>
      <c r="AH48" s="1282"/>
      <c r="AI48" s="1282"/>
      <c r="AJ48" s="1282"/>
      <c r="AK48" s="1282"/>
      <c r="AL48" s="1282"/>
    </row>
    <row r="49" spans="4:38">
      <c r="D49" s="1282"/>
      <c r="E49" s="1282"/>
      <c r="F49" s="1282"/>
      <c r="G49" s="1282"/>
      <c r="H49" s="1282"/>
      <c r="I49" s="1282"/>
      <c r="J49" s="1282"/>
      <c r="K49" s="1282"/>
      <c r="L49" s="1282"/>
      <c r="M49" s="1282"/>
      <c r="N49" s="1282"/>
      <c r="O49" s="1282"/>
      <c r="P49" s="1282"/>
      <c r="Q49" s="1282"/>
      <c r="R49" s="1282"/>
      <c r="S49" s="1282"/>
      <c r="T49" s="1282"/>
      <c r="U49" s="1282"/>
      <c r="V49" s="1282"/>
      <c r="W49" s="1282"/>
      <c r="X49" s="1282"/>
      <c r="Y49" s="1282"/>
      <c r="Z49" s="1282"/>
      <c r="AA49" s="1282"/>
      <c r="AB49" s="1282"/>
      <c r="AC49" s="1282"/>
      <c r="AD49" s="1282"/>
      <c r="AE49" s="1282"/>
      <c r="AF49" s="1282"/>
      <c r="AG49" s="1282"/>
      <c r="AH49" s="1282"/>
      <c r="AI49" s="1282"/>
      <c r="AJ49" s="1282"/>
      <c r="AK49" s="1282"/>
      <c r="AL49" s="1282"/>
    </row>
    <row r="50" spans="4:38">
      <c r="D50" s="1282"/>
      <c r="E50" s="1282"/>
      <c r="F50" s="1282"/>
      <c r="G50" s="1282"/>
      <c r="H50" s="1282"/>
      <c r="I50" s="1282"/>
      <c r="J50" s="1282"/>
      <c r="K50" s="1282"/>
      <c r="L50" s="1282"/>
      <c r="M50" s="1282"/>
      <c r="N50" s="1282"/>
      <c r="O50" s="1282"/>
      <c r="P50" s="1282"/>
      <c r="Q50" s="1282"/>
      <c r="R50" s="1282"/>
      <c r="S50" s="1282"/>
      <c r="T50" s="1282"/>
      <c r="U50" s="1282"/>
      <c r="V50" s="1282"/>
      <c r="W50" s="1282"/>
      <c r="X50" s="1282"/>
      <c r="Y50" s="1282"/>
      <c r="Z50" s="1282"/>
      <c r="AA50" s="1282"/>
      <c r="AB50" s="1282"/>
      <c r="AC50" s="1282"/>
      <c r="AD50" s="1282"/>
      <c r="AE50" s="1282"/>
      <c r="AF50" s="1282"/>
      <c r="AG50" s="1282"/>
      <c r="AH50" s="1282"/>
      <c r="AI50" s="1282"/>
      <c r="AJ50" s="1282"/>
      <c r="AK50" s="1282"/>
      <c r="AL50" s="1282"/>
    </row>
    <row r="51" spans="4:38">
      <c r="D51" s="1282"/>
      <c r="E51" s="1282"/>
      <c r="F51" s="1282"/>
      <c r="G51" s="1282"/>
      <c r="H51" s="1282"/>
      <c r="I51" s="1282"/>
      <c r="J51" s="1282"/>
      <c r="K51" s="1282"/>
      <c r="L51" s="1282"/>
      <c r="M51" s="1282"/>
      <c r="N51" s="1282"/>
      <c r="O51" s="1282"/>
      <c r="P51" s="1282"/>
      <c r="Q51" s="1282"/>
      <c r="R51" s="1282"/>
      <c r="S51" s="1282"/>
      <c r="T51" s="1282"/>
      <c r="U51" s="1282"/>
      <c r="V51" s="1282"/>
      <c r="W51" s="1282"/>
      <c r="X51" s="1282"/>
      <c r="Y51" s="1282"/>
      <c r="Z51" s="1282"/>
      <c r="AA51" s="1282"/>
      <c r="AB51" s="1282"/>
      <c r="AC51" s="1282"/>
      <c r="AD51" s="1282"/>
      <c r="AE51" s="1282"/>
      <c r="AF51" s="1282"/>
      <c r="AG51" s="1282"/>
      <c r="AH51" s="1282"/>
      <c r="AI51" s="1282"/>
      <c r="AJ51" s="1282"/>
      <c r="AK51" s="1282"/>
      <c r="AL51" s="1282"/>
    </row>
    <row r="52" spans="4:38">
      <c r="D52" s="1282"/>
      <c r="E52" s="1282"/>
      <c r="F52" s="1282"/>
      <c r="G52" s="1282"/>
      <c r="H52" s="1282"/>
      <c r="I52" s="1282"/>
      <c r="J52" s="1282"/>
      <c r="K52" s="1282"/>
      <c r="L52" s="1282"/>
      <c r="M52" s="1282"/>
      <c r="N52" s="1282"/>
      <c r="O52" s="1282"/>
      <c r="P52" s="1282"/>
      <c r="Q52" s="1282"/>
      <c r="R52" s="1282"/>
      <c r="S52" s="1282"/>
      <c r="T52" s="1282"/>
      <c r="U52" s="1282"/>
      <c r="V52" s="1282"/>
      <c r="W52" s="1282"/>
      <c r="X52" s="1282"/>
      <c r="Y52" s="1282"/>
      <c r="Z52" s="1282"/>
      <c r="AA52" s="1282"/>
      <c r="AB52" s="1282"/>
      <c r="AC52" s="1282"/>
      <c r="AD52" s="1282"/>
      <c r="AE52" s="1282"/>
      <c r="AF52" s="1282"/>
      <c r="AG52" s="1282"/>
      <c r="AH52" s="1282"/>
      <c r="AI52" s="1282"/>
      <c r="AJ52" s="1282"/>
      <c r="AK52" s="1282"/>
      <c r="AL52" s="1282"/>
    </row>
    <row r="53" spans="4:38">
      <c r="D53" s="1282"/>
      <c r="E53" s="1282"/>
      <c r="F53" s="1282"/>
      <c r="G53" s="1282"/>
      <c r="H53" s="1282"/>
      <c r="I53" s="1282"/>
      <c r="J53" s="1282"/>
      <c r="K53" s="1282"/>
      <c r="L53" s="1282"/>
      <c r="M53" s="1282"/>
      <c r="N53" s="1282"/>
      <c r="O53" s="1282"/>
      <c r="P53" s="1282"/>
      <c r="Q53" s="1282"/>
      <c r="R53" s="1282"/>
      <c r="S53" s="1282"/>
      <c r="T53" s="1282"/>
      <c r="U53" s="1282"/>
      <c r="V53" s="1282"/>
      <c r="W53" s="1282"/>
      <c r="X53" s="1282"/>
      <c r="Y53" s="1282"/>
      <c r="Z53" s="1282"/>
      <c r="AA53" s="1282"/>
      <c r="AB53" s="1282"/>
      <c r="AC53" s="1282"/>
      <c r="AD53" s="1282"/>
      <c r="AE53" s="1282"/>
      <c r="AF53" s="1282"/>
      <c r="AG53" s="1282"/>
      <c r="AH53" s="1282"/>
      <c r="AI53" s="1282"/>
      <c r="AJ53" s="1282"/>
      <c r="AK53" s="1282"/>
      <c r="AL53" s="1282"/>
    </row>
    <row r="54" spans="4:38">
      <c r="D54" s="1282"/>
      <c r="E54" s="1282"/>
      <c r="F54" s="1282"/>
      <c r="G54" s="1282"/>
      <c r="H54" s="1282"/>
      <c r="I54" s="1282"/>
      <c r="J54" s="1282"/>
      <c r="K54" s="1282"/>
      <c r="L54" s="1282"/>
      <c r="M54" s="1282"/>
      <c r="N54" s="1282"/>
      <c r="O54" s="1282"/>
      <c r="P54" s="1282"/>
      <c r="Q54" s="1282"/>
      <c r="R54" s="1282"/>
      <c r="S54" s="1282"/>
      <c r="T54" s="1282"/>
      <c r="U54" s="1282"/>
      <c r="V54" s="1282"/>
      <c r="W54" s="1282"/>
      <c r="X54" s="1282"/>
      <c r="Y54" s="1282"/>
      <c r="Z54" s="1282"/>
      <c r="AA54" s="1282"/>
      <c r="AB54" s="1282"/>
      <c r="AC54" s="1282"/>
      <c r="AD54" s="1282"/>
      <c r="AE54" s="1282"/>
      <c r="AF54" s="1282"/>
      <c r="AG54" s="1282"/>
      <c r="AH54" s="1282"/>
      <c r="AI54" s="1282"/>
      <c r="AJ54" s="1282"/>
      <c r="AK54" s="1282"/>
      <c r="AL54" s="1282"/>
    </row>
    <row r="55" spans="4:38">
      <c r="D55" s="1282"/>
      <c r="E55" s="1282"/>
      <c r="F55" s="1282"/>
      <c r="G55" s="1282"/>
      <c r="H55" s="1282"/>
      <c r="I55" s="1282"/>
      <c r="J55" s="1282"/>
      <c r="K55" s="1282"/>
      <c r="L55" s="1282"/>
      <c r="M55" s="1282"/>
      <c r="N55" s="1282"/>
      <c r="O55" s="1282"/>
      <c r="P55" s="1282"/>
      <c r="Q55" s="1282"/>
      <c r="R55" s="1282"/>
      <c r="S55" s="1282"/>
      <c r="T55" s="1282"/>
      <c r="U55" s="1282"/>
      <c r="V55" s="1282"/>
      <c r="W55" s="1282"/>
      <c r="X55" s="1282"/>
      <c r="Y55" s="1282"/>
      <c r="Z55" s="1282"/>
      <c r="AA55" s="1282"/>
      <c r="AB55" s="1282"/>
      <c r="AC55" s="1282"/>
      <c r="AD55" s="1282"/>
      <c r="AE55" s="1282"/>
      <c r="AF55" s="1282"/>
      <c r="AG55" s="1282"/>
      <c r="AH55" s="1282"/>
      <c r="AI55" s="1282"/>
      <c r="AJ55" s="1282"/>
      <c r="AK55" s="1282"/>
      <c r="AL55" s="1282"/>
    </row>
    <row r="56" spans="4:38">
      <c r="D56" s="1282"/>
      <c r="E56" s="1282"/>
      <c r="F56" s="1282"/>
      <c r="G56" s="1282"/>
      <c r="H56" s="1282"/>
      <c r="I56" s="1282"/>
      <c r="J56" s="1282"/>
      <c r="K56" s="1282"/>
      <c r="L56" s="1282"/>
      <c r="M56" s="1282"/>
      <c r="N56" s="1282"/>
      <c r="O56" s="1282"/>
      <c r="P56" s="1282"/>
      <c r="Q56" s="1282"/>
      <c r="R56" s="1282"/>
      <c r="S56" s="1282"/>
      <c r="T56" s="1282"/>
      <c r="U56" s="1282"/>
      <c r="V56" s="1282"/>
      <c r="W56" s="1282"/>
      <c r="X56" s="1282"/>
      <c r="Y56" s="1282"/>
      <c r="Z56" s="1282"/>
      <c r="AA56" s="1282"/>
      <c r="AB56" s="1282"/>
      <c r="AC56" s="1282"/>
      <c r="AD56" s="1282"/>
      <c r="AE56" s="1282"/>
      <c r="AF56" s="1282"/>
      <c r="AG56" s="1282"/>
      <c r="AH56" s="1282"/>
      <c r="AI56" s="1282"/>
      <c r="AJ56" s="1282"/>
      <c r="AK56" s="1282"/>
      <c r="AL56" s="1282"/>
    </row>
    <row r="57" spans="4:38">
      <c r="D57" s="1282"/>
      <c r="E57" s="1282"/>
      <c r="F57" s="1282"/>
      <c r="G57" s="1282"/>
      <c r="H57" s="1282"/>
      <c r="I57" s="1282"/>
      <c r="J57" s="1282"/>
      <c r="K57" s="1282"/>
      <c r="L57" s="1282"/>
      <c r="M57" s="1282"/>
      <c r="N57" s="1282"/>
      <c r="O57" s="1282"/>
      <c r="P57" s="1282"/>
      <c r="Q57" s="1282"/>
      <c r="R57" s="1282"/>
      <c r="S57" s="1282"/>
      <c r="T57" s="1282"/>
      <c r="U57" s="1282"/>
      <c r="V57" s="1282"/>
      <c r="W57" s="1282"/>
      <c r="X57" s="1282"/>
      <c r="Y57" s="1282"/>
      <c r="Z57" s="1282"/>
      <c r="AA57" s="1282"/>
      <c r="AB57" s="1282"/>
      <c r="AC57" s="1282"/>
      <c r="AD57" s="1282"/>
      <c r="AE57" s="1282"/>
      <c r="AF57" s="1282"/>
      <c r="AG57" s="1282"/>
      <c r="AH57" s="1282"/>
      <c r="AI57" s="1282"/>
      <c r="AJ57" s="1282"/>
      <c r="AK57" s="1282"/>
      <c r="AL57" s="1282"/>
    </row>
    <row r="58" spans="4:38">
      <c r="D58" s="1282"/>
      <c r="E58" s="1282"/>
      <c r="F58" s="1282"/>
      <c r="G58" s="1282"/>
      <c r="H58" s="1282"/>
      <c r="I58" s="1282"/>
      <c r="J58" s="1282"/>
      <c r="K58" s="1282"/>
      <c r="L58" s="1282"/>
      <c r="M58" s="1282"/>
      <c r="N58" s="1282"/>
      <c r="O58" s="1282"/>
      <c r="P58" s="1282"/>
      <c r="Q58" s="1282"/>
      <c r="R58" s="1282"/>
      <c r="S58" s="1282"/>
      <c r="T58" s="1282"/>
      <c r="U58" s="1282"/>
      <c r="V58" s="1282"/>
      <c r="W58" s="1282"/>
      <c r="X58" s="1282"/>
      <c r="Y58" s="1282"/>
      <c r="Z58" s="1282"/>
      <c r="AA58" s="1282"/>
      <c r="AB58" s="1282"/>
      <c r="AC58" s="1282"/>
      <c r="AD58" s="1282"/>
      <c r="AE58" s="1282"/>
      <c r="AF58" s="1282"/>
      <c r="AG58" s="1282"/>
      <c r="AH58" s="1282"/>
      <c r="AI58" s="1282"/>
      <c r="AJ58" s="1282"/>
      <c r="AK58" s="1282"/>
      <c r="AL58" s="1282"/>
    </row>
    <row r="59" spans="4:38">
      <c r="D59" s="1282"/>
      <c r="E59" s="1282"/>
      <c r="F59" s="1282"/>
      <c r="G59" s="1282"/>
      <c r="H59" s="1282"/>
      <c r="I59" s="1282"/>
      <c r="J59" s="1282"/>
      <c r="K59" s="1282"/>
      <c r="L59" s="1282"/>
      <c r="M59" s="1282"/>
      <c r="N59" s="1282"/>
      <c r="O59" s="1282"/>
      <c r="P59" s="1282"/>
      <c r="Q59" s="1282"/>
      <c r="R59" s="1282"/>
      <c r="S59" s="1282"/>
      <c r="T59" s="1282"/>
      <c r="U59" s="1282"/>
      <c r="V59" s="1282"/>
      <c r="W59" s="1282"/>
      <c r="X59" s="1282"/>
      <c r="Y59" s="1282"/>
      <c r="Z59" s="1282"/>
      <c r="AA59" s="1282"/>
      <c r="AB59" s="1282"/>
      <c r="AC59" s="1282"/>
      <c r="AD59" s="1282"/>
      <c r="AE59" s="1282"/>
      <c r="AF59" s="1282"/>
      <c r="AG59" s="1282"/>
      <c r="AH59" s="1282"/>
      <c r="AI59" s="1282"/>
      <c r="AJ59" s="1282"/>
      <c r="AK59" s="1282"/>
      <c r="AL59" s="1282"/>
    </row>
    <row r="60" spans="4:38">
      <c r="D60" s="1282"/>
      <c r="E60" s="1282"/>
      <c r="F60" s="1282"/>
      <c r="G60" s="1282"/>
      <c r="H60" s="1282"/>
      <c r="I60" s="1282"/>
      <c r="J60" s="1282"/>
      <c r="K60" s="1282"/>
      <c r="L60" s="1282"/>
      <c r="M60" s="1282"/>
      <c r="N60" s="1282"/>
      <c r="O60" s="1282"/>
      <c r="P60" s="1282"/>
      <c r="Q60" s="1282"/>
      <c r="R60" s="1282"/>
      <c r="S60" s="1282"/>
      <c r="T60" s="1282"/>
      <c r="U60" s="1282"/>
      <c r="V60" s="1282"/>
      <c r="W60" s="1282"/>
      <c r="X60" s="1282"/>
      <c r="Y60" s="1282"/>
      <c r="Z60" s="1282"/>
      <c r="AA60" s="1282"/>
      <c r="AB60" s="1282"/>
      <c r="AC60" s="1282"/>
      <c r="AD60" s="1282"/>
      <c r="AE60" s="1282"/>
      <c r="AF60" s="1282"/>
      <c r="AG60" s="1282"/>
      <c r="AH60" s="1282"/>
      <c r="AI60" s="1282"/>
      <c r="AJ60" s="1282"/>
      <c r="AK60" s="1282"/>
      <c r="AL60" s="1282"/>
    </row>
    <row r="61" spans="4:38">
      <c r="D61" s="1282"/>
      <c r="E61" s="1282"/>
      <c r="F61" s="1282"/>
      <c r="G61" s="1282"/>
      <c r="H61" s="1282"/>
      <c r="I61" s="1282"/>
      <c r="J61" s="1282"/>
      <c r="K61" s="1282"/>
      <c r="L61" s="1282"/>
      <c r="M61" s="1282"/>
      <c r="N61" s="1282"/>
      <c r="O61" s="1282"/>
      <c r="P61" s="1282"/>
      <c r="Q61" s="1282"/>
      <c r="R61" s="1282"/>
      <c r="S61" s="1282"/>
      <c r="T61" s="1282"/>
      <c r="U61" s="1282"/>
      <c r="V61" s="1282"/>
      <c r="W61" s="1282"/>
      <c r="X61" s="1282"/>
      <c r="Y61" s="1282"/>
      <c r="Z61" s="1282"/>
      <c r="AA61" s="1282"/>
      <c r="AB61" s="1282"/>
      <c r="AC61" s="1282"/>
      <c r="AD61" s="1282"/>
      <c r="AE61" s="1282"/>
      <c r="AF61" s="1282"/>
      <c r="AG61" s="1282"/>
      <c r="AH61" s="1282"/>
      <c r="AI61" s="1282"/>
      <c r="AJ61" s="1282"/>
      <c r="AK61" s="1282"/>
      <c r="AL61" s="1282"/>
    </row>
    <row r="62" spans="4:38">
      <c r="D62" s="1282"/>
      <c r="E62" s="1282"/>
      <c r="F62" s="1282"/>
      <c r="G62" s="1282"/>
      <c r="H62" s="1282"/>
      <c r="I62" s="1282"/>
      <c r="J62" s="1282"/>
      <c r="K62" s="1282"/>
      <c r="L62" s="1282"/>
      <c r="M62" s="1282"/>
      <c r="N62" s="1282"/>
      <c r="O62" s="1282"/>
      <c r="P62" s="1282"/>
      <c r="Q62" s="1282"/>
      <c r="R62" s="1282"/>
      <c r="S62" s="1282"/>
      <c r="T62" s="1282"/>
      <c r="U62" s="1282"/>
      <c r="V62" s="1282"/>
      <c r="W62" s="1282"/>
      <c r="X62" s="1282"/>
      <c r="Y62" s="1282"/>
      <c r="Z62" s="1282"/>
      <c r="AA62" s="1282"/>
      <c r="AB62" s="1282"/>
      <c r="AC62" s="1282"/>
      <c r="AD62" s="1282"/>
      <c r="AE62" s="1282"/>
      <c r="AF62" s="1282"/>
      <c r="AG62" s="1282"/>
      <c r="AH62" s="1282"/>
      <c r="AI62" s="1282"/>
      <c r="AJ62" s="1282"/>
      <c r="AK62" s="1282"/>
      <c r="AL62" s="1282"/>
    </row>
  </sheetData>
  <sheetProtection password="C9E9" sheet="1" objects="1" scenarios="1"/>
  <mergeCells count="66">
    <mergeCell ref="C38:S38"/>
    <mergeCell ref="AA36:AE36"/>
    <mergeCell ref="C36:S36"/>
    <mergeCell ref="C37:S37"/>
    <mergeCell ref="AF38:AL38"/>
    <mergeCell ref="AF36:AL36"/>
    <mergeCell ref="T38:Z38"/>
    <mergeCell ref="AA37:AE37"/>
    <mergeCell ref="AF37:AL37"/>
    <mergeCell ref="T36:Z36"/>
    <mergeCell ref="T37:Z37"/>
    <mergeCell ref="AA38:AE38"/>
    <mergeCell ref="C17:AL17"/>
    <mergeCell ref="AQ2:BB2"/>
    <mergeCell ref="A3:AL3"/>
    <mergeCell ref="A4:AL4"/>
    <mergeCell ref="A13:AL13"/>
    <mergeCell ref="D14:AL14"/>
    <mergeCell ref="A2:AL2"/>
    <mergeCell ref="C15:AL15"/>
    <mergeCell ref="C16:AL16"/>
    <mergeCell ref="C19:AL19"/>
    <mergeCell ref="C18:AL18"/>
    <mergeCell ref="C20:AL20"/>
    <mergeCell ref="C35:S35"/>
    <mergeCell ref="C26:S26"/>
    <mergeCell ref="C27:S27"/>
    <mergeCell ref="C28:S28"/>
    <mergeCell ref="C23:S23"/>
    <mergeCell ref="C34:S34"/>
    <mergeCell ref="C29:S29"/>
    <mergeCell ref="C30:S30"/>
    <mergeCell ref="C25:S25"/>
    <mergeCell ref="C24:S24"/>
    <mergeCell ref="C31:S31"/>
    <mergeCell ref="C33:S33"/>
    <mergeCell ref="C32:S32"/>
    <mergeCell ref="D40:AL40"/>
    <mergeCell ref="D41:AL41"/>
    <mergeCell ref="D43:AL43"/>
    <mergeCell ref="D44:AL44"/>
    <mergeCell ref="D45:AL45"/>
    <mergeCell ref="D57:AL57"/>
    <mergeCell ref="D58:AL58"/>
    <mergeCell ref="D59:AL59"/>
    <mergeCell ref="D46:AL46"/>
    <mergeCell ref="D47:AL47"/>
    <mergeCell ref="D48:AL48"/>
    <mergeCell ref="D49:AL49"/>
    <mergeCell ref="D50:AL50"/>
    <mergeCell ref="D61:AL61"/>
    <mergeCell ref="D62:AL62"/>
    <mergeCell ref="C22:S22"/>
    <mergeCell ref="T22:Z22"/>
    <mergeCell ref="AA22:AE22"/>
    <mergeCell ref="AF22:AL22"/>
    <mergeCell ref="AA23:AE35"/>
    <mergeCell ref="T23:Z35"/>
    <mergeCell ref="AF23:AL35"/>
    <mergeCell ref="D60:AL60"/>
    <mergeCell ref="D53:AL53"/>
    <mergeCell ref="D54:AL54"/>
    <mergeCell ref="D55:AL55"/>
    <mergeCell ref="D56:AL56"/>
    <mergeCell ref="D51:AL51"/>
    <mergeCell ref="D52:AL52"/>
  </mergeCells>
  <phoneticPr fontId="17" type="noConversion"/>
  <hyperlinks>
    <hyperlink ref="AF23" r:id="rId1"/>
    <hyperlink ref="AF36" r:id="rId2"/>
    <hyperlink ref="AF37" r:id="rId3"/>
    <hyperlink ref="AF38" r:id="rId4"/>
  </hyperlinks>
  <printOptions horizontalCentered="1"/>
  <pageMargins left="0.5" right="0.5" top="0.5" bottom="0.5" header="0.5" footer="0.25"/>
  <pageSetup scale="85" orientation="portrait" horizontalDpi="525" verticalDpi="525" r:id="rId5"/>
  <headerFooter scaleWithDoc="0" alignWithMargins="0">
    <oddFooter>&amp;C&amp;9Page &amp;P of &amp;N&amp;R&amp;"Arial,Italic"&amp;9Universal Application - &amp;A</oddFooter>
  </headerFooter>
  <drawing r:id="rId6"/>
  <legacyDrawing r:id="rId7"/>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O67"/>
  <sheetViews>
    <sheetView showGridLines="0" tabSelected="1" topLeftCell="A4" zoomScaleNormal="100" zoomScaleSheetLayoutView="100" workbookViewId="0">
      <selection activeCell="A9" sqref="A9:AO9"/>
    </sheetView>
  </sheetViews>
  <sheetFormatPr defaultRowHeight="12.75"/>
  <cols>
    <col min="1" max="4" width="3" customWidth="1"/>
    <col min="5" max="5" width="4.7109375" customWidth="1"/>
    <col min="6" max="6" width="2.85546875" customWidth="1"/>
    <col min="7" max="7" width="2.28515625" customWidth="1"/>
    <col min="8" max="8" width="3.140625" customWidth="1"/>
    <col min="9" max="9" width="3.42578125" customWidth="1"/>
    <col min="10" max="12" width="3" customWidth="1"/>
    <col min="13" max="13" width="1.85546875" customWidth="1"/>
    <col min="14" max="18" width="3" customWidth="1"/>
    <col min="19" max="19" width="3.5703125" customWidth="1"/>
    <col min="20" max="20" width="3.7109375" customWidth="1"/>
    <col min="21" max="21" width="2" customWidth="1"/>
    <col min="22" max="26" width="3" customWidth="1"/>
    <col min="27" max="27" width="3.42578125" customWidth="1"/>
    <col min="28" max="28" width="1.7109375" customWidth="1"/>
    <col min="29" max="40" width="3" customWidth="1"/>
    <col min="41" max="41" width="4.140625" customWidth="1"/>
  </cols>
  <sheetData>
    <row r="1" spans="1:41">
      <c r="A1" s="65"/>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91"/>
    </row>
    <row r="2" spans="1:41" ht="15.75">
      <c r="A2" s="1474" t="s">
        <v>404</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J2" s="1324"/>
      <c r="AK2" s="1324"/>
      <c r="AL2" s="1324"/>
      <c r="AM2" s="1324"/>
      <c r="AN2" s="1324"/>
      <c r="AO2" s="1475"/>
    </row>
    <row r="3" spans="1:41" ht="15.75">
      <c r="A3" s="1474" t="s">
        <v>405</v>
      </c>
      <c r="B3" s="1324"/>
      <c r="C3" s="1324"/>
      <c r="D3" s="1324"/>
      <c r="E3" s="1324"/>
      <c r="F3" s="1324"/>
      <c r="G3" s="1324"/>
      <c r="H3" s="1324"/>
      <c r="I3" s="1324"/>
      <c r="J3" s="1324"/>
      <c r="K3" s="1324"/>
      <c r="L3" s="1324"/>
      <c r="M3" s="1324"/>
      <c r="N3" s="1324"/>
      <c r="O3" s="1324"/>
      <c r="P3" s="1324"/>
      <c r="Q3" s="1324"/>
      <c r="R3" s="1324"/>
      <c r="S3" s="1324"/>
      <c r="T3" s="1324"/>
      <c r="U3" s="1324"/>
      <c r="V3" s="1324"/>
      <c r="W3" s="1324"/>
      <c r="X3" s="1324"/>
      <c r="Y3" s="1324"/>
      <c r="Z3" s="1324"/>
      <c r="AA3" s="1324"/>
      <c r="AB3" s="1324"/>
      <c r="AC3" s="1324"/>
      <c r="AD3" s="1324"/>
      <c r="AE3" s="1324"/>
      <c r="AF3" s="1324"/>
      <c r="AG3" s="1324"/>
      <c r="AH3" s="1324"/>
      <c r="AI3" s="1324"/>
      <c r="AJ3" s="1324"/>
      <c r="AK3" s="1324"/>
      <c r="AL3" s="1324"/>
      <c r="AM3" s="1324"/>
      <c r="AN3" s="1324"/>
      <c r="AO3" s="1475"/>
    </row>
    <row r="4" spans="1:41" ht="15.75">
      <c r="A4" s="1474" t="s">
        <v>391</v>
      </c>
      <c r="B4" s="1324"/>
      <c r="C4" s="1324"/>
      <c r="D4" s="1324"/>
      <c r="E4" s="1324"/>
      <c r="F4" s="1324"/>
      <c r="G4" s="1324"/>
      <c r="H4" s="1324"/>
      <c r="I4" s="1324"/>
      <c r="J4" s="1324"/>
      <c r="K4" s="1324"/>
      <c r="L4" s="1324"/>
      <c r="M4" s="1324"/>
      <c r="N4" s="1324"/>
      <c r="O4" s="1324"/>
      <c r="P4" s="1324"/>
      <c r="Q4" s="1324"/>
      <c r="R4" s="1324"/>
      <c r="S4" s="1324"/>
      <c r="T4" s="1324"/>
      <c r="U4" s="1324"/>
      <c r="V4" s="1324"/>
      <c r="W4" s="1324"/>
      <c r="X4" s="1324"/>
      <c r="Y4" s="1324"/>
      <c r="Z4" s="1324"/>
      <c r="AA4" s="1324"/>
      <c r="AB4" s="1324"/>
      <c r="AC4" s="1324"/>
      <c r="AD4" s="1324"/>
      <c r="AE4" s="1324"/>
      <c r="AF4" s="1324"/>
      <c r="AG4" s="1324"/>
      <c r="AH4" s="1324"/>
      <c r="AI4" s="1324"/>
      <c r="AJ4" s="1324"/>
      <c r="AK4" s="1324"/>
      <c r="AL4" s="1324"/>
      <c r="AM4" s="1324"/>
      <c r="AN4" s="1324"/>
      <c r="AO4" s="1475"/>
    </row>
    <row r="5" spans="1:41">
      <c r="A5" s="10"/>
      <c r="AO5" s="11"/>
    </row>
    <row r="6" spans="1:41">
      <c r="A6" s="10"/>
      <c r="AO6" s="11"/>
    </row>
    <row r="7" spans="1:41">
      <c r="A7" s="10"/>
      <c r="AO7" s="11"/>
    </row>
    <row r="8" spans="1:41">
      <c r="A8" s="10"/>
      <c r="AO8" s="11"/>
    </row>
    <row r="9" spans="1:41" s="16" customFormat="1" ht="18" customHeight="1">
      <c r="A9" s="1485" t="s">
        <v>36</v>
      </c>
      <c r="B9" s="1486"/>
      <c r="C9" s="1486"/>
      <c r="D9" s="1486"/>
      <c r="E9" s="1486"/>
      <c r="F9" s="1486"/>
      <c r="G9" s="1486"/>
      <c r="H9" s="1486"/>
      <c r="I9" s="1486"/>
      <c r="J9" s="1486"/>
      <c r="K9" s="1486"/>
      <c r="L9" s="1486"/>
      <c r="M9" s="1486"/>
      <c r="N9" s="1486"/>
      <c r="O9" s="1486"/>
      <c r="P9" s="1486"/>
      <c r="Q9" s="1486"/>
      <c r="R9" s="1486"/>
      <c r="S9" s="1486"/>
      <c r="T9" s="1486"/>
      <c r="U9" s="1486"/>
      <c r="V9" s="1486"/>
      <c r="W9" s="1486"/>
      <c r="X9" s="1486"/>
      <c r="Y9" s="1486"/>
      <c r="Z9" s="1486"/>
      <c r="AA9" s="1486"/>
      <c r="AB9" s="1486"/>
      <c r="AC9" s="1486"/>
      <c r="AD9" s="1486"/>
      <c r="AE9" s="1486"/>
      <c r="AF9" s="1486"/>
      <c r="AG9" s="1486"/>
      <c r="AH9" s="1486"/>
      <c r="AI9" s="1486"/>
      <c r="AJ9" s="1486"/>
      <c r="AK9" s="1486"/>
      <c r="AL9" s="1486"/>
      <c r="AM9" s="1486"/>
      <c r="AN9" s="1486"/>
      <c r="AO9" s="1487"/>
    </row>
    <row r="10" spans="1:41" ht="14.25">
      <c r="A10" s="10"/>
      <c r="V10" s="75"/>
      <c r="AO10" s="11"/>
    </row>
    <row r="11" spans="1:41">
      <c r="A11" s="49" t="s">
        <v>540</v>
      </c>
      <c r="B11" s="863"/>
      <c r="F11" s="76"/>
      <c r="K11" s="1500"/>
      <c r="L11" s="1501"/>
      <c r="M11" s="1501"/>
      <c r="N11" s="1501"/>
      <c r="O11" s="1501"/>
      <c r="P11" s="1501"/>
      <c r="Q11" s="1502"/>
      <c r="R11" s="16"/>
      <c r="S11" s="16"/>
      <c r="V11" s="76"/>
      <c r="W11" s="76"/>
      <c r="AE11" s="93"/>
      <c r="AF11" s="76"/>
      <c r="AG11" s="564"/>
      <c r="AH11" s="564"/>
      <c r="AI11" s="565" t="s">
        <v>1687</v>
      </c>
      <c r="AJ11" s="565"/>
      <c r="AK11" s="565"/>
      <c r="AL11" s="565"/>
      <c r="AM11" s="565"/>
      <c r="AN11" s="565"/>
      <c r="AO11" s="566"/>
    </row>
    <row r="12" spans="1:41" s="16" customFormat="1" ht="15.75">
      <c r="A12" s="1503">
        <f>A45</f>
        <v>0</v>
      </c>
      <c r="B12" s="1504"/>
      <c r="C12" s="1504"/>
      <c r="D12" s="1504"/>
      <c r="E12" s="1504"/>
      <c r="F12" s="1504"/>
      <c r="G12" s="1504"/>
      <c r="H12" s="1504"/>
      <c r="I12" s="1504"/>
      <c r="J12" s="1504"/>
      <c r="K12" s="1504"/>
      <c r="L12" s="1504"/>
      <c r="M12" s="1504"/>
      <c r="N12" s="1504"/>
      <c r="O12" s="1504"/>
      <c r="P12" s="1504"/>
      <c r="Q12" s="1504"/>
      <c r="R12" s="1504"/>
      <c r="S12" s="1504"/>
      <c r="T12" s="1504"/>
      <c r="U12" s="1504"/>
      <c r="V12" s="1504"/>
      <c r="W12" s="1504"/>
      <c r="X12" s="1504"/>
      <c r="Y12" s="1504"/>
      <c r="Z12" s="1504"/>
      <c r="AA12" s="1504"/>
      <c r="AB12" s="1504"/>
      <c r="AC12" s="1504"/>
      <c r="AD12" s="1504"/>
      <c r="AE12" s="1504"/>
      <c r="AF12" s="1504"/>
      <c r="AG12" s="1504"/>
      <c r="AH12" s="1504"/>
      <c r="AI12" s="1504"/>
      <c r="AJ12" s="1504"/>
      <c r="AK12" s="1504"/>
      <c r="AL12" s="1504"/>
      <c r="AM12" s="1504"/>
      <c r="AN12" s="1504"/>
      <c r="AO12" s="1505"/>
    </row>
    <row r="13" spans="1:41" ht="46.5" customHeight="1" thickBot="1">
      <c r="A13" s="1341" t="s">
        <v>1395</v>
      </c>
      <c r="B13" s="1342"/>
      <c r="C13" s="1342"/>
      <c r="D13" s="1342"/>
      <c r="E13" s="1342"/>
      <c r="F13" s="1342"/>
      <c r="G13" s="1342"/>
      <c r="H13" s="1342"/>
      <c r="I13" s="1342"/>
      <c r="J13" s="1342"/>
      <c r="K13" s="1342"/>
      <c r="L13" s="1342"/>
      <c r="M13" s="1342"/>
      <c r="N13" s="1342"/>
      <c r="O13" s="1342"/>
      <c r="P13" s="1342"/>
      <c r="Q13" s="1342"/>
      <c r="R13" s="1342"/>
      <c r="S13" s="1342"/>
      <c r="T13" s="1342"/>
      <c r="U13" s="1342"/>
      <c r="V13" s="1342"/>
      <c r="W13" s="1342"/>
      <c r="X13" s="1342"/>
      <c r="Y13" s="1342"/>
      <c r="Z13" s="1342"/>
      <c r="AA13" s="1342"/>
      <c r="AB13" s="1342"/>
      <c r="AC13" s="1342"/>
      <c r="AD13" s="1342"/>
      <c r="AE13" s="1342"/>
      <c r="AF13" s="1342"/>
      <c r="AG13" s="1342"/>
      <c r="AH13" s="1342"/>
      <c r="AI13" s="1342"/>
      <c r="AJ13" s="1342"/>
      <c r="AK13" s="1342"/>
      <c r="AL13" s="1342"/>
      <c r="AM13" s="1342"/>
      <c r="AN13" s="1342"/>
      <c r="AO13" s="1343"/>
    </row>
    <row r="14" spans="1:41" s="38" customFormat="1" ht="18.75" customHeight="1">
      <c r="A14" s="579" t="s">
        <v>530</v>
      </c>
      <c r="B14" s="66"/>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577"/>
      <c r="AK14" s="577"/>
      <c r="AL14" s="577"/>
      <c r="AM14" s="66"/>
      <c r="AN14" s="66"/>
      <c r="AO14" s="578"/>
    </row>
    <row r="15" spans="1:41" s="38" customFormat="1" ht="17.100000000000001" customHeight="1">
      <c r="A15" s="603"/>
      <c r="B15" s="604"/>
      <c r="C15" s="604"/>
      <c r="D15" s="605"/>
      <c r="E15" s="606"/>
      <c r="F15" s="607" t="s">
        <v>61</v>
      </c>
      <c r="G15" s="605"/>
      <c r="H15" s="605"/>
      <c r="I15" s="604"/>
      <c r="J15" s="604"/>
      <c r="K15" s="604"/>
      <c r="L15" s="608"/>
      <c r="M15" s="609"/>
      <c r="N15" s="610"/>
      <c r="O15" s="611"/>
      <c r="P15" s="612"/>
      <c r="Q15" s="611" t="s">
        <v>800</v>
      </c>
      <c r="R15" s="611"/>
      <c r="S15" s="611"/>
      <c r="T15" s="611"/>
      <c r="U15" s="613"/>
      <c r="V15" s="610"/>
      <c r="W15" s="614"/>
      <c r="X15" s="615" t="s">
        <v>531</v>
      </c>
      <c r="Y15" s="615"/>
      <c r="Z15" s="615"/>
      <c r="AA15" s="615"/>
      <c r="AB15" s="613"/>
      <c r="AC15" s="616"/>
      <c r="AD15" s="607"/>
      <c r="AE15" s="607"/>
      <c r="AF15" s="605"/>
      <c r="AG15" s="617"/>
      <c r="AH15" s="607" t="s">
        <v>794</v>
      </c>
      <c r="AI15" s="607"/>
      <c r="AJ15" s="607"/>
      <c r="AK15" s="607"/>
      <c r="AL15" s="607"/>
      <c r="AM15" s="607"/>
      <c r="AN15" s="607"/>
      <c r="AO15" s="618"/>
    </row>
    <row r="16" spans="1:41" ht="13.5" customHeight="1">
      <c r="A16" s="1476" t="s">
        <v>421</v>
      </c>
      <c r="B16" s="1422"/>
      <c r="C16" s="1422"/>
      <c r="D16" s="1422"/>
      <c r="E16" s="1422"/>
      <c r="F16" s="1422"/>
      <c r="G16" s="1422"/>
      <c r="H16" s="1477" t="s">
        <v>422</v>
      </c>
      <c r="I16" s="1477"/>
      <c r="J16" s="1477"/>
      <c r="K16" s="1477"/>
      <c r="L16" s="580"/>
      <c r="M16" s="588"/>
      <c r="N16" s="1478" t="s">
        <v>181</v>
      </c>
      <c r="O16" s="1479"/>
      <c r="P16" s="1479"/>
      <c r="Q16" s="1479"/>
      <c r="R16" s="1479"/>
      <c r="S16" s="1479"/>
      <c r="T16" s="1480"/>
      <c r="U16" s="583"/>
      <c r="V16" s="1478" t="s">
        <v>423</v>
      </c>
      <c r="W16" s="1481"/>
      <c r="X16" s="1481"/>
      <c r="Y16" s="1481"/>
      <c r="Z16" s="1481"/>
      <c r="AA16" s="1482"/>
      <c r="AB16" s="588"/>
      <c r="AC16" s="1414" t="s">
        <v>73</v>
      </c>
      <c r="AD16" s="1414"/>
      <c r="AE16" s="1414"/>
      <c r="AF16" s="1414"/>
      <c r="AG16" s="1414"/>
      <c r="AH16" s="1414"/>
      <c r="AI16" s="1414"/>
      <c r="AJ16" s="1414"/>
      <c r="AK16" s="1414"/>
      <c r="AL16" s="1414"/>
      <c r="AM16" s="1414"/>
      <c r="AO16" s="522"/>
    </row>
    <row r="17" spans="1:41">
      <c r="A17" s="10"/>
      <c r="B17" s="94"/>
      <c r="C17" s="1483" t="s">
        <v>426</v>
      </c>
      <c r="D17" s="1483"/>
      <c r="E17" s="1483"/>
      <c r="F17" s="1483"/>
      <c r="G17" s="1484"/>
      <c r="H17" s="1409">
        <v>0</v>
      </c>
      <c r="I17" s="1370"/>
      <c r="J17" s="1370"/>
      <c r="K17" s="1371"/>
      <c r="L17" s="92"/>
      <c r="M17" s="584"/>
      <c r="N17" s="55" t="s">
        <v>182</v>
      </c>
      <c r="U17" s="584"/>
      <c r="V17" s="1422" t="s">
        <v>428</v>
      </c>
      <c r="W17" s="1422"/>
      <c r="X17" s="1422"/>
      <c r="Y17" s="1422"/>
      <c r="Z17" s="1422"/>
      <c r="AA17" s="1422"/>
      <c r="AB17" s="584"/>
      <c r="AC17" s="1414"/>
      <c r="AD17" s="1414"/>
      <c r="AE17" s="1414"/>
      <c r="AF17" s="1414"/>
      <c r="AG17" s="1414"/>
      <c r="AH17" s="1414"/>
      <c r="AI17" s="1414"/>
      <c r="AJ17" s="1414"/>
      <c r="AK17" s="1414"/>
      <c r="AL17" s="1414"/>
      <c r="AM17" s="1414"/>
      <c r="AN17" s="1412"/>
      <c r="AO17" s="1413"/>
    </row>
    <row r="18" spans="1:41" ht="14.25">
      <c r="A18" s="95"/>
      <c r="B18" s="94"/>
      <c r="C18" s="1483" t="s">
        <v>432</v>
      </c>
      <c r="D18" s="1483"/>
      <c r="E18" s="1483"/>
      <c r="F18" s="1483"/>
      <c r="G18" s="1484"/>
      <c r="H18" s="1409">
        <v>0</v>
      </c>
      <c r="I18" s="1370"/>
      <c r="J18" s="1370"/>
      <c r="K18" s="1371"/>
      <c r="L18" s="92"/>
      <c r="M18" s="584"/>
      <c r="O18" s="1489">
        <v>0</v>
      </c>
      <c r="P18" s="1490"/>
      <c r="Q18" s="1490"/>
      <c r="R18" s="1490"/>
      <c r="S18" s="1491"/>
      <c r="U18" s="584"/>
      <c r="V18" s="13"/>
      <c r="W18" s="1489">
        <v>0</v>
      </c>
      <c r="X18" s="1490"/>
      <c r="Y18" s="1490"/>
      <c r="Z18" s="1491"/>
      <c r="AA18" s="13"/>
      <c r="AB18" s="584"/>
      <c r="AC18" s="1509" t="s">
        <v>357</v>
      </c>
      <c r="AD18" s="1509"/>
      <c r="AE18" s="1509"/>
      <c r="AF18" s="1509"/>
      <c r="AG18" s="1509"/>
      <c r="AH18" s="1509"/>
      <c r="AI18" s="1509"/>
      <c r="AJ18" s="1510"/>
      <c r="AK18" s="1506">
        <v>0</v>
      </c>
      <c r="AL18" s="1507"/>
      <c r="AM18" s="1507"/>
      <c r="AN18" s="1507"/>
      <c r="AO18" s="1508"/>
    </row>
    <row r="19" spans="1:41" ht="14.25">
      <c r="A19" s="95"/>
      <c r="B19" s="94"/>
      <c r="C19" s="1483" t="s">
        <v>437</v>
      </c>
      <c r="D19" s="1483"/>
      <c r="E19" s="1483"/>
      <c r="F19" s="1483"/>
      <c r="G19" s="1483"/>
      <c r="H19" s="1409">
        <v>0</v>
      </c>
      <c r="I19" s="1370"/>
      <c r="J19" s="1370"/>
      <c r="K19" s="1371"/>
      <c r="L19" s="92"/>
      <c r="M19" s="584"/>
      <c r="N19" s="55" t="s">
        <v>183</v>
      </c>
      <c r="U19" s="584"/>
      <c r="V19" s="1422" t="s">
        <v>713</v>
      </c>
      <c r="W19" s="1488"/>
      <c r="X19" s="1488"/>
      <c r="Y19" s="1488"/>
      <c r="Z19" s="1488"/>
      <c r="AA19" s="96"/>
      <c r="AB19" s="584"/>
      <c r="AC19" s="1422" t="s">
        <v>533</v>
      </c>
      <c r="AD19" s="1422"/>
      <c r="AE19" s="1422"/>
      <c r="AF19" s="1422"/>
      <c r="AG19" s="1517"/>
      <c r="AH19" s="1385"/>
      <c r="AI19" s="1386"/>
      <c r="AJ19" s="1386"/>
      <c r="AK19" s="1386"/>
      <c r="AL19" s="1386"/>
      <c r="AM19" s="1386"/>
      <c r="AN19" s="1386"/>
      <c r="AO19" s="1387"/>
    </row>
    <row r="20" spans="1:41" ht="14.25">
      <c r="A20" s="95" t="s">
        <v>434</v>
      </c>
      <c r="M20" s="585"/>
      <c r="O20" s="1489">
        <v>0</v>
      </c>
      <c r="P20" s="1490"/>
      <c r="Q20" s="1490"/>
      <c r="R20" s="1490"/>
      <c r="S20" s="1491"/>
      <c r="U20" s="585"/>
      <c r="W20" s="1492"/>
      <c r="X20" s="1495"/>
      <c r="Y20" s="1495"/>
      <c r="Z20" s="1496"/>
      <c r="AA20" s="33"/>
      <c r="AB20" s="585"/>
      <c r="AE20" s="521"/>
      <c r="AF20" s="521"/>
      <c r="AG20" s="521"/>
      <c r="AH20" s="521"/>
      <c r="AI20" s="521"/>
      <c r="AJ20" s="521"/>
      <c r="AK20" s="521"/>
      <c r="AL20" s="521"/>
      <c r="AM20" s="521"/>
      <c r="AN20" s="521"/>
      <c r="AO20" s="11"/>
    </row>
    <row r="21" spans="1:41">
      <c r="A21" s="1515" t="s">
        <v>63</v>
      </c>
      <c r="B21" s="1516"/>
      <c r="C21" s="1516"/>
      <c r="D21" s="1516"/>
      <c r="E21" s="1516"/>
      <c r="F21" s="1516"/>
      <c r="G21" s="1516"/>
      <c r="H21" s="1516"/>
      <c r="I21" s="1516"/>
      <c r="J21" s="1516"/>
      <c r="K21" s="1516"/>
      <c r="L21" s="1516"/>
      <c r="M21" s="585"/>
      <c r="N21" s="55" t="s">
        <v>184</v>
      </c>
      <c r="U21" s="585"/>
      <c r="V21" s="97"/>
      <c r="AA21" s="98"/>
      <c r="AB21" s="585"/>
      <c r="AC21" s="1392" t="s">
        <v>424</v>
      </c>
      <c r="AD21" s="1393"/>
      <c r="AE21" s="1393"/>
      <c r="AF21" s="1393"/>
      <c r="AG21" s="1393"/>
      <c r="AH21" s="1393"/>
      <c r="AI21" s="1393"/>
      <c r="AJ21" s="1393"/>
      <c r="AK21" s="1393"/>
      <c r="AL21" s="1393"/>
      <c r="AM21" s="1393"/>
      <c r="AN21" s="1393"/>
      <c r="AO21" s="1394"/>
    </row>
    <row r="22" spans="1:41">
      <c r="A22" s="10"/>
      <c r="B22" s="1492"/>
      <c r="C22" s="1493"/>
      <c r="D22" s="1493"/>
      <c r="E22" s="1493"/>
      <c r="F22" s="1493"/>
      <c r="G22" s="1493"/>
      <c r="H22" s="1493"/>
      <c r="I22" s="1493"/>
      <c r="J22" s="1493"/>
      <c r="K22" s="1494"/>
      <c r="M22" s="585"/>
      <c r="N22" s="16"/>
      <c r="O22" s="1489">
        <v>0</v>
      </c>
      <c r="P22" s="1490"/>
      <c r="Q22" s="1490"/>
      <c r="R22" s="1490"/>
      <c r="S22" s="1491"/>
      <c r="U22" s="585"/>
      <c r="V22" s="55" t="s">
        <v>388</v>
      </c>
      <c r="W22" s="99"/>
      <c r="X22" s="99"/>
      <c r="Y22" s="99"/>
      <c r="Z22" s="99"/>
      <c r="AA22" s="99"/>
      <c r="AB22" s="585"/>
      <c r="AH22" s="1395" t="s">
        <v>422</v>
      </c>
      <c r="AI22" s="1395"/>
      <c r="AJ22" s="1395"/>
      <c r="AK22" s="1395"/>
      <c r="AL22" s="1390" t="s">
        <v>429</v>
      </c>
      <c r="AM22" s="1390"/>
      <c r="AN22" s="1390" t="s">
        <v>430</v>
      </c>
      <c r="AO22" s="1391"/>
    </row>
    <row r="23" spans="1:41" ht="13.5" thickBot="1">
      <c r="A23" s="49" t="s">
        <v>66</v>
      </c>
      <c r="B23" s="52"/>
      <c r="C23" s="52"/>
      <c r="D23" s="52"/>
      <c r="E23" s="52"/>
      <c r="M23" s="584"/>
      <c r="U23" s="584"/>
      <c r="V23" s="55" t="s">
        <v>389</v>
      </c>
      <c r="W23" s="77"/>
      <c r="X23" s="13"/>
      <c r="Y23" s="13"/>
      <c r="Z23" s="13"/>
      <c r="AA23" s="13"/>
      <c r="AB23" s="584"/>
      <c r="AC23" s="55" t="s">
        <v>433</v>
      </c>
      <c r="AD23" s="90"/>
      <c r="AE23" s="90"/>
      <c r="AF23" s="90"/>
      <c r="AG23" s="90"/>
      <c r="AH23" s="1369">
        <v>0</v>
      </c>
      <c r="AI23" s="1370"/>
      <c r="AJ23" s="1370"/>
      <c r="AK23" s="1371"/>
      <c r="AL23" s="1388"/>
      <c r="AM23" s="1389"/>
      <c r="AN23" s="1339"/>
      <c r="AO23" s="1340"/>
    </row>
    <row r="24" spans="1:41" ht="13.5" thickBot="1">
      <c r="A24" s="10"/>
      <c r="B24" s="206"/>
      <c r="C24" s="13" t="s">
        <v>454</v>
      </c>
      <c r="D24" s="1492"/>
      <c r="E24" s="1511"/>
      <c r="F24" s="13" t="s">
        <v>454</v>
      </c>
      <c r="G24" s="1512"/>
      <c r="H24" s="1513"/>
      <c r="I24" s="1513"/>
      <c r="J24" s="1513"/>
      <c r="K24" s="1514"/>
      <c r="M24" s="584"/>
      <c r="N24" s="1497" t="s">
        <v>180</v>
      </c>
      <c r="O24" s="1498"/>
      <c r="P24" s="1498"/>
      <c r="Q24" s="1498"/>
      <c r="R24" s="1498"/>
      <c r="S24" s="1498"/>
      <c r="T24" s="1499"/>
      <c r="U24" s="584"/>
      <c r="W24" s="1489">
        <v>0</v>
      </c>
      <c r="X24" s="1490"/>
      <c r="Y24" s="1490"/>
      <c r="Z24" s="1491"/>
      <c r="AA24" s="13"/>
      <c r="AB24" s="584"/>
      <c r="AC24" s="55" t="s">
        <v>380</v>
      </c>
      <c r="AD24" s="90"/>
      <c r="AE24" s="90"/>
      <c r="AF24" s="90"/>
      <c r="AH24" s="1369">
        <v>0</v>
      </c>
      <c r="AI24" s="1370"/>
      <c r="AJ24" s="1370"/>
      <c r="AK24" s="1371"/>
      <c r="AL24" s="1388"/>
      <c r="AM24" s="1389"/>
      <c r="AN24" s="1339"/>
      <c r="AO24" s="1340"/>
    </row>
    <row r="25" spans="1:41">
      <c r="A25" s="1515" t="s">
        <v>457</v>
      </c>
      <c r="B25" s="1516"/>
      <c r="C25" s="1516"/>
      <c r="D25" s="1516"/>
      <c r="E25" s="1516"/>
      <c r="F25" s="1516"/>
      <c r="G25" s="1516"/>
      <c r="H25" s="1516"/>
      <c r="I25" s="1516"/>
      <c r="J25" s="1516"/>
      <c r="K25" s="1516"/>
      <c r="L25" s="1516"/>
      <c r="M25" s="584"/>
      <c r="N25" s="1422"/>
      <c r="O25" s="1422"/>
      <c r="P25" s="1422"/>
      <c r="Q25" s="1422"/>
      <c r="R25" s="1422"/>
      <c r="S25" s="1422"/>
      <c r="T25" s="1422"/>
      <c r="U25" s="584"/>
      <c r="V25" s="97"/>
      <c r="AB25" s="584"/>
      <c r="AC25" s="55" t="s">
        <v>441</v>
      </c>
      <c r="AD25" s="90"/>
      <c r="AE25" s="90"/>
      <c r="AF25" s="90"/>
      <c r="AH25" s="1369">
        <v>0</v>
      </c>
      <c r="AI25" s="1370"/>
      <c r="AJ25" s="1370"/>
      <c r="AK25" s="1371"/>
      <c r="AL25" s="1388"/>
      <c r="AM25" s="1389"/>
      <c r="AN25" s="1339"/>
      <c r="AO25" s="1340"/>
    </row>
    <row r="26" spans="1:41">
      <c r="A26" s="10"/>
      <c r="B26" s="1492"/>
      <c r="C26" s="1493"/>
      <c r="D26" s="1493"/>
      <c r="E26" s="1493"/>
      <c r="F26" s="1493"/>
      <c r="G26" s="1493"/>
      <c r="H26" s="1493"/>
      <c r="I26" s="1493"/>
      <c r="J26" s="1493"/>
      <c r="K26" s="1494"/>
      <c r="L26" s="16"/>
      <c r="M26" s="585"/>
      <c r="N26" t="s">
        <v>789</v>
      </c>
      <c r="Q26" s="1423"/>
      <c r="R26" s="1424"/>
      <c r="S26" s="1424"/>
      <c r="T26" s="1424"/>
      <c r="U26" s="585"/>
      <c r="V26" s="1399" t="s">
        <v>356</v>
      </c>
      <c r="W26" s="1399"/>
      <c r="X26" s="1399"/>
      <c r="Y26" s="1399"/>
      <c r="Z26" s="1399"/>
      <c r="AA26" s="1399"/>
      <c r="AB26" s="585"/>
      <c r="AC26" s="55" t="s">
        <v>445</v>
      </c>
      <c r="AD26" s="90"/>
      <c r="AE26" s="90"/>
      <c r="AF26" s="90"/>
      <c r="AH26" s="1369">
        <v>0</v>
      </c>
      <c r="AI26" s="1370"/>
      <c r="AJ26" s="1370"/>
      <c r="AK26" s="1371"/>
      <c r="AL26" s="1388"/>
      <c r="AM26" s="1389"/>
      <c r="AN26" s="1339"/>
      <c r="AO26" s="1340"/>
    </row>
    <row r="27" spans="1:41">
      <c r="A27" s="1515" t="s">
        <v>56</v>
      </c>
      <c r="B27" s="1516"/>
      <c r="C27" s="1516"/>
      <c r="D27" s="1516"/>
      <c r="E27" s="1516"/>
      <c r="F27" s="1516"/>
      <c r="G27" s="1516"/>
      <c r="H27" s="1516"/>
      <c r="I27" s="1516"/>
      <c r="J27" s="1516"/>
      <c r="K27" s="1516"/>
      <c r="L27" s="1516"/>
      <c r="M27" s="585"/>
      <c r="U27" s="585"/>
      <c r="V27" s="1399" t="s">
        <v>482</v>
      </c>
      <c r="W27" s="1399"/>
      <c r="X27" s="1399"/>
      <c r="Y27" s="1399"/>
      <c r="Z27" s="1399"/>
      <c r="AA27" s="1399"/>
      <c r="AB27" s="585"/>
      <c r="AC27" s="55" t="s">
        <v>438</v>
      </c>
      <c r="AD27" s="90"/>
      <c r="AE27" s="90"/>
      <c r="AF27" s="90"/>
      <c r="AH27" s="1369">
        <v>0</v>
      </c>
      <c r="AI27" s="1370"/>
      <c r="AJ27" s="1370"/>
      <c r="AK27" s="1371"/>
      <c r="AL27" s="1388"/>
      <c r="AM27" s="1389"/>
      <c r="AN27" s="1339"/>
      <c r="AO27" s="1340"/>
    </row>
    <row r="28" spans="1:41" ht="13.5" thickBot="1">
      <c r="A28" s="10"/>
      <c r="B28" s="1492"/>
      <c r="C28" s="1493"/>
      <c r="D28" s="1493"/>
      <c r="E28" s="1493"/>
      <c r="F28" s="1493"/>
      <c r="G28" s="1493"/>
      <c r="H28" s="1493"/>
      <c r="I28" s="1493"/>
      <c r="J28" s="1493"/>
      <c r="K28" s="1494"/>
      <c r="M28" s="586"/>
      <c r="U28" s="586"/>
      <c r="V28" s="1399" t="s">
        <v>532</v>
      </c>
      <c r="W28" s="1399"/>
      <c r="X28" s="1399"/>
      <c r="Y28" s="1399"/>
      <c r="Z28" s="1399"/>
      <c r="AA28" s="1399"/>
      <c r="AB28" s="586"/>
      <c r="AC28" s="55" t="s">
        <v>451</v>
      </c>
      <c r="AD28" s="90"/>
      <c r="AE28" s="90"/>
      <c r="AF28" s="90"/>
      <c r="AH28" s="1369">
        <v>0</v>
      </c>
      <c r="AI28" s="1370"/>
      <c r="AJ28" s="1370"/>
      <c r="AK28" s="1371"/>
      <c r="AL28" s="1388"/>
      <c r="AM28" s="1389"/>
      <c r="AN28" s="1339"/>
      <c r="AO28" s="1340"/>
    </row>
    <row r="29" spans="1:41" ht="13.5" thickBot="1">
      <c r="A29" s="1515" t="s">
        <v>62</v>
      </c>
      <c r="B29" s="1516"/>
      <c r="C29" s="1516"/>
      <c r="D29" s="1516"/>
      <c r="E29" s="1516"/>
      <c r="F29" s="1516"/>
      <c r="G29" s="1516"/>
      <c r="H29" s="1516"/>
      <c r="I29" s="1516"/>
      <c r="J29" s="1516"/>
      <c r="K29" s="1516"/>
      <c r="L29" s="1516"/>
      <c r="M29" s="585"/>
      <c r="N29" s="1497" t="s">
        <v>180</v>
      </c>
      <c r="O29" s="1498"/>
      <c r="P29" s="1498"/>
      <c r="Q29" s="1498"/>
      <c r="R29" s="1498"/>
      <c r="S29" s="1498"/>
      <c r="T29" s="1499"/>
      <c r="U29" s="585"/>
      <c r="W29" s="1396">
        <v>0</v>
      </c>
      <c r="X29" s="1397"/>
      <c r="Y29" s="1397"/>
      <c r="Z29" s="1398"/>
      <c r="AB29" s="585"/>
      <c r="AC29" s="55" t="s">
        <v>455</v>
      </c>
      <c r="AD29" s="90"/>
      <c r="AE29" s="90"/>
      <c r="AF29" s="90"/>
      <c r="AG29" s="90"/>
      <c r="AH29" s="1369">
        <v>0</v>
      </c>
      <c r="AI29" s="1370"/>
      <c r="AJ29" s="1370"/>
      <c r="AK29" s="1371"/>
      <c r="AL29" s="1388"/>
      <c r="AM29" s="1389"/>
      <c r="AN29" s="1339"/>
      <c r="AO29" s="1340"/>
    </row>
    <row r="30" spans="1:41">
      <c r="A30" s="10"/>
      <c r="B30" s="1492"/>
      <c r="C30" s="1493"/>
      <c r="D30" s="1493"/>
      <c r="E30" s="1493"/>
      <c r="F30" s="1493"/>
      <c r="G30" s="1493"/>
      <c r="H30" s="1493"/>
      <c r="I30" s="1493"/>
      <c r="J30" s="1493"/>
      <c r="K30" s="1494"/>
      <c r="L30" s="16"/>
      <c r="M30" s="585"/>
      <c r="N30" s="1422"/>
      <c r="O30" s="1422"/>
      <c r="P30" s="1422"/>
      <c r="Q30" s="1422"/>
      <c r="R30" s="1422"/>
      <c r="S30" s="1422"/>
      <c r="T30" s="1422"/>
      <c r="U30" s="585"/>
      <c r="AB30" s="585"/>
      <c r="AC30" s="1400"/>
      <c r="AD30" s="1400"/>
      <c r="AE30" s="1400"/>
      <c r="AF30" s="1400"/>
      <c r="AG30" s="1401"/>
      <c r="AH30" s="1409">
        <v>0</v>
      </c>
      <c r="AI30" s="1370"/>
      <c r="AJ30" s="1370"/>
      <c r="AK30" s="1371"/>
      <c r="AL30" s="1388"/>
      <c r="AM30" s="1389"/>
      <c r="AN30" s="1339"/>
      <c r="AO30" s="1340"/>
    </row>
    <row r="31" spans="1:41">
      <c r="A31" s="1515" t="s">
        <v>476</v>
      </c>
      <c r="B31" s="1516"/>
      <c r="C31" s="1516"/>
      <c r="D31" s="1516"/>
      <c r="E31" s="1516"/>
      <c r="F31" s="1516"/>
      <c r="G31" s="1516"/>
      <c r="H31" s="1516"/>
      <c r="I31" s="1516"/>
      <c r="J31" s="1516"/>
      <c r="K31" s="1516"/>
      <c r="L31" s="1516"/>
      <c r="M31" s="586"/>
      <c r="N31" t="s">
        <v>789</v>
      </c>
      <c r="Q31" s="1423"/>
      <c r="R31" s="1424"/>
      <c r="S31" s="1424"/>
      <c r="T31" s="1424"/>
      <c r="U31" s="586"/>
      <c r="V31" s="1411" t="s">
        <v>32</v>
      </c>
      <c r="W31" s="1411"/>
      <c r="X31" s="1411"/>
      <c r="Y31" s="1411"/>
      <c r="Z31" s="1411"/>
      <c r="AA31" s="1411"/>
      <c r="AB31" s="586"/>
      <c r="AC31" s="1"/>
      <c r="AD31" s="1"/>
      <c r="AE31" s="1"/>
      <c r="AF31" s="1"/>
      <c r="AG31" s="1"/>
      <c r="AH31" s="1"/>
      <c r="AI31" s="1"/>
      <c r="AJ31" s="1"/>
      <c r="AK31" s="1"/>
      <c r="AL31" s="1"/>
      <c r="AM31" s="1"/>
      <c r="AN31" s="1"/>
      <c r="AO31" s="129"/>
    </row>
    <row r="32" spans="1:41">
      <c r="A32" s="10"/>
      <c r="B32" s="1492"/>
      <c r="C32" s="1493"/>
      <c r="D32" s="1493"/>
      <c r="E32" s="1493"/>
      <c r="F32" s="1493"/>
      <c r="G32" s="1493"/>
      <c r="H32" s="1493"/>
      <c r="I32" s="1493"/>
      <c r="J32" s="1493"/>
      <c r="K32" s="1494"/>
      <c r="M32" s="585"/>
      <c r="N32" s="675"/>
      <c r="U32" s="585"/>
      <c r="AB32" s="585"/>
      <c r="AC32" s="1414" t="s">
        <v>385</v>
      </c>
      <c r="AD32" s="1414"/>
      <c r="AE32" s="1414"/>
      <c r="AF32" s="1414"/>
      <c r="AG32" s="1414"/>
      <c r="AH32" s="1414"/>
      <c r="AI32" s="1414"/>
      <c r="AJ32" s="1414"/>
      <c r="AK32" s="1414"/>
      <c r="AL32" s="1414"/>
      <c r="AM32" s="1414"/>
      <c r="AN32" s="1412"/>
      <c r="AO32" s="1413"/>
    </row>
    <row r="33" spans="1:41" ht="13.5" thickBot="1">
      <c r="A33" s="1515" t="s">
        <v>64</v>
      </c>
      <c r="B33" s="1516"/>
      <c r="C33" s="1516"/>
      <c r="D33" s="1516"/>
      <c r="E33" s="1516"/>
      <c r="F33" s="1516"/>
      <c r="G33" s="1516"/>
      <c r="H33" s="1516"/>
      <c r="I33" s="1516"/>
      <c r="J33" s="1516"/>
      <c r="K33" s="1516"/>
      <c r="L33" s="1516"/>
      <c r="M33" s="585"/>
      <c r="U33" s="585"/>
      <c r="W33" s="1425"/>
      <c r="X33" s="1426"/>
      <c r="Y33" s="1426"/>
      <c r="Z33" s="1427"/>
      <c r="AB33" s="585"/>
      <c r="AO33" s="11"/>
    </row>
    <row r="34" spans="1:41" ht="12.75" customHeight="1" thickBot="1">
      <c r="A34" s="10"/>
      <c r="B34" s="1492"/>
      <c r="C34" s="1493"/>
      <c r="D34" s="1493"/>
      <c r="E34" s="1493"/>
      <c r="F34" s="1493"/>
      <c r="G34" s="1493"/>
      <c r="H34" s="1493"/>
      <c r="I34" s="1493"/>
      <c r="J34" s="1493"/>
      <c r="K34" s="1494"/>
      <c r="L34" s="78"/>
      <c r="M34" s="585"/>
      <c r="N34" s="1497" t="s">
        <v>180</v>
      </c>
      <c r="O34" s="1498"/>
      <c r="P34" s="1498"/>
      <c r="Q34" s="1498"/>
      <c r="R34" s="1498"/>
      <c r="S34" s="1498"/>
      <c r="T34" s="1499"/>
      <c r="U34" s="585"/>
      <c r="AB34" s="585"/>
      <c r="AC34" s="1392" t="s">
        <v>1025</v>
      </c>
      <c r="AD34" s="1393"/>
      <c r="AE34" s="1393"/>
      <c r="AF34" s="1393"/>
      <c r="AG34" s="1393"/>
      <c r="AH34" s="1393"/>
      <c r="AI34" s="1393"/>
      <c r="AJ34" s="1393"/>
      <c r="AK34" s="1393"/>
      <c r="AL34" s="1393"/>
      <c r="AM34" s="1393"/>
      <c r="AN34" s="1393"/>
      <c r="AO34" s="1394"/>
    </row>
    <row r="35" spans="1:41" ht="12.75" customHeight="1">
      <c r="A35" s="100" t="s">
        <v>65</v>
      </c>
      <c r="M35" s="585"/>
      <c r="N35" s="1422"/>
      <c r="O35" s="1422"/>
      <c r="P35" s="1422"/>
      <c r="Q35" s="1422"/>
      <c r="R35" s="1422"/>
      <c r="S35" s="1422"/>
      <c r="T35" s="1422"/>
      <c r="U35" s="585"/>
      <c r="AB35" s="585"/>
      <c r="AC35" s="1366" t="s">
        <v>1026</v>
      </c>
      <c r="AD35" s="1367"/>
      <c r="AE35" s="1367"/>
      <c r="AF35" s="1367"/>
      <c r="AG35" s="1368"/>
      <c r="AH35" s="1360" t="s">
        <v>422</v>
      </c>
      <c r="AI35" s="1361"/>
      <c r="AJ35" s="1361"/>
      <c r="AK35" s="1362"/>
      <c r="AL35" s="805"/>
      <c r="AM35" s="806"/>
      <c r="AN35" s="1366" t="s">
        <v>430</v>
      </c>
      <c r="AO35" s="1410"/>
    </row>
    <row r="36" spans="1:41" ht="14.25">
      <c r="A36" s="95"/>
      <c r="B36" s="1523"/>
      <c r="C36" s="1479"/>
      <c r="D36" s="1479"/>
      <c r="E36" s="1479"/>
      <c r="F36" s="1479"/>
      <c r="G36" s="1479"/>
      <c r="H36" s="1479"/>
      <c r="I36" s="1479"/>
      <c r="J36" s="1479"/>
      <c r="K36" s="1480"/>
      <c r="M36" s="585"/>
      <c r="N36" t="s">
        <v>789</v>
      </c>
      <c r="Q36" s="1423"/>
      <c r="R36" s="1424"/>
      <c r="S36" s="1424"/>
      <c r="T36" s="1424"/>
      <c r="U36" s="585"/>
      <c r="AB36" s="585"/>
      <c r="AC36" s="1363" t="s">
        <v>51</v>
      </c>
      <c r="AD36" s="1363"/>
      <c r="AE36" s="1363"/>
      <c r="AF36" s="1363"/>
      <c r="AG36" s="1363"/>
      <c r="AH36" s="1369">
        <v>0</v>
      </c>
      <c r="AI36" s="1370"/>
      <c r="AJ36" s="1370"/>
      <c r="AK36" s="1371"/>
      <c r="AL36" s="523"/>
      <c r="AM36" s="524"/>
      <c r="AN36" s="803"/>
      <c r="AO36" s="804"/>
    </row>
    <row r="37" spans="1:41" s="38" customFormat="1" ht="15" thickBot="1">
      <c r="A37" s="95"/>
      <c r="B37"/>
      <c r="C37"/>
      <c r="D37"/>
      <c r="E37"/>
      <c r="F37"/>
      <c r="G37"/>
      <c r="H37"/>
      <c r="I37"/>
      <c r="J37"/>
      <c r="K37"/>
      <c r="L37"/>
      <c r="M37" s="585"/>
      <c r="N37"/>
      <c r="O37"/>
      <c r="P37"/>
      <c r="Q37"/>
      <c r="R37"/>
      <c r="S37"/>
      <c r="T37"/>
      <c r="U37" s="585"/>
      <c r="V37"/>
      <c r="W37"/>
      <c r="X37"/>
      <c r="Y37"/>
      <c r="Z37"/>
      <c r="AA37"/>
      <c r="AB37" s="585"/>
      <c r="AC37" s="1363" t="s">
        <v>52</v>
      </c>
      <c r="AD37" s="1363"/>
      <c r="AE37" s="1363"/>
      <c r="AF37" s="1363"/>
      <c r="AG37" s="1363"/>
      <c r="AH37" s="1369">
        <v>0</v>
      </c>
      <c r="AI37" s="1370"/>
      <c r="AJ37" s="1370"/>
      <c r="AK37" s="1371"/>
      <c r="AL37" s="525"/>
      <c r="AM37" s="526"/>
      <c r="AN37" s="1339"/>
      <c r="AO37" s="1340"/>
    </row>
    <row r="38" spans="1:41" ht="15" thickBot="1">
      <c r="A38" s="95"/>
      <c r="M38" s="585"/>
      <c r="N38" s="1497" t="s">
        <v>180</v>
      </c>
      <c r="O38" s="1498"/>
      <c r="P38" s="1498"/>
      <c r="Q38" s="1498"/>
      <c r="R38" s="1498"/>
      <c r="S38" s="1498"/>
      <c r="T38" s="1499"/>
      <c r="U38" s="585"/>
      <c r="AB38" s="585"/>
      <c r="AO38" s="11"/>
    </row>
    <row r="39" spans="1:41" ht="14.25">
      <c r="A39" s="95"/>
      <c r="M39" s="585"/>
      <c r="N39" s="1422"/>
      <c r="O39" s="1422"/>
      <c r="P39" s="1422"/>
      <c r="Q39" s="1422"/>
      <c r="R39" s="1422"/>
      <c r="S39" s="1422"/>
      <c r="T39" s="1422"/>
      <c r="U39" s="585"/>
      <c r="AB39" s="585"/>
      <c r="AC39" s="1405" t="s">
        <v>1029</v>
      </c>
      <c r="AD39" s="1406"/>
      <c r="AE39" s="1406"/>
      <c r="AF39" s="1406"/>
      <c r="AG39" s="1406"/>
      <c r="AH39" s="1406"/>
      <c r="AI39" s="1406"/>
      <c r="AJ39" s="1406"/>
      <c r="AK39" s="1406"/>
      <c r="AL39" s="1406"/>
      <c r="AM39" s="1406"/>
      <c r="AN39" s="1406"/>
      <c r="AO39" s="1407"/>
    </row>
    <row r="40" spans="1:41" ht="14.25" customHeight="1">
      <c r="A40" s="95"/>
      <c r="M40" s="585"/>
      <c r="N40" t="s">
        <v>789</v>
      </c>
      <c r="Q40" s="1423"/>
      <c r="R40" s="1424"/>
      <c r="S40" s="1424"/>
      <c r="T40" s="1424"/>
      <c r="U40" s="585"/>
      <c r="AB40" s="585"/>
      <c r="AC40" s="1365"/>
      <c r="AD40" s="1365"/>
      <c r="AE40" s="1365"/>
      <c r="AF40" s="1365"/>
      <c r="AG40" s="1365"/>
      <c r="AH40" s="1360" t="s">
        <v>422</v>
      </c>
      <c r="AI40" s="1361"/>
      <c r="AJ40" s="1361"/>
      <c r="AK40" s="1362"/>
      <c r="AL40" s="815"/>
      <c r="AM40" s="815"/>
      <c r="AN40" s="816"/>
      <c r="AO40" s="11"/>
    </row>
    <row r="41" spans="1:41" ht="14.25" customHeight="1">
      <c r="A41" s="95"/>
      <c r="M41" s="585"/>
      <c r="U41" s="585"/>
      <c r="AB41" s="585"/>
      <c r="AC41" s="1364" t="s">
        <v>1027</v>
      </c>
      <c r="AD41" s="1364"/>
      <c r="AE41" s="1364"/>
      <c r="AF41" s="1364"/>
      <c r="AG41" s="1364"/>
      <c r="AH41" s="1372">
        <v>0</v>
      </c>
      <c r="AI41" s="1372"/>
      <c r="AJ41" s="1372"/>
      <c r="AK41" s="1372"/>
      <c r="AL41" s="815"/>
      <c r="AM41" s="815"/>
      <c r="AN41" s="816"/>
      <c r="AO41" s="11"/>
    </row>
    <row r="42" spans="1:41" ht="14.25">
      <c r="A42" s="95"/>
      <c r="M42" s="587"/>
      <c r="N42" s="520"/>
      <c r="P42" s="56"/>
      <c r="Q42" s="56"/>
      <c r="R42" s="56"/>
      <c r="S42" s="56"/>
      <c r="U42" s="587"/>
      <c r="AB42" s="587"/>
      <c r="AC42" s="1364" t="s">
        <v>1028</v>
      </c>
      <c r="AD42" s="1364"/>
      <c r="AE42" s="1364"/>
      <c r="AF42" s="1364"/>
      <c r="AG42" s="1364"/>
      <c r="AH42" s="1372">
        <v>0</v>
      </c>
      <c r="AI42" s="1372"/>
      <c r="AJ42" s="1372"/>
      <c r="AK42" s="1372"/>
      <c r="AL42" s="817"/>
      <c r="AM42" s="817"/>
      <c r="AN42" s="817"/>
      <c r="AO42" s="11"/>
    </row>
    <row r="43" spans="1:41" ht="15.75">
      <c r="A43" s="147" t="s">
        <v>516</v>
      </c>
      <c r="B43" s="517"/>
      <c r="C43" s="517"/>
      <c r="D43" s="517"/>
      <c r="E43" s="517"/>
      <c r="F43" s="517"/>
      <c r="G43" s="517"/>
      <c r="H43" s="517"/>
      <c r="I43" s="517"/>
      <c r="J43" s="517"/>
      <c r="K43" s="517"/>
      <c r="L43" s="102"/>
      <c r="M43" s="102"/>
      <c r="N43" s="103"/>
      <c r="O43" s="102"/>
      <c r="P43" s="104"/>
      <c r="Q43" s="104"/>
      <c r="R43" s="104"/>
      <c r="S43" s="104"/>
      <c r="T43" s="102"/>
      <c r="U43" s="102"/>
      <c r="V43" s="102"/>
      <c r="W43" s="102"/>
      <c r="X43" s="102"/>
      <c r="Y43" s="102"/>
      <c r="Z43" s="102"/>
      <c r="AA43" s="102"/>
      <c r="AB43" s="102"/>
      <c r="AC43" s="102"/>
      <c r="AD43" s="102"/>
      <c r="AE43" s="102"/>
      <c r="AF43" s="102"/>
      <c r="AG43" s="102"/>
      <c r="AH43" s="102"/>
      <c r="AI43" s="102"/>
      <c r="AJ43" s="102"/>
      <c r="AK43" s="102"/>
      <c r="AL43" s="102"/>
      <c r="AM43" s="102"/>
      <c r="AN43" s="102"/>
      <c r="AO43" s="70"/>
    </row>
    <row r="44" spans="1:41">
      <c r="A44" s="1524" t="s">
        <v>519</v>
      </c>
      <c r="B44" s="1525"/>
      <c r="C44" s="1525"/>
      <c r="D44" s="1525"/>
      <c r="E44" s="1525"/>
      <c r="F44" s="1525"/>
      <c r="G44" s="1525"/>
      <c r="H44" s="1525"/>
      <c r="I44" s="1525"/>
      <c r="J44" s="1525"/>
      <c r="K44" s="1525"/>
      <c r="L44" s="1525"/>
      <c r="M44" s="1526"/>
      <c r="N44" s="1402" t="s">
        <v>520</v>
      </c>
      <c r="O44" s="1403"/>
      <c r="P44" s="1403"/>
      <c r="Q44" s="1403"/>
      <c r="R44" s="1403"/>
      <c r="S44" s="1403"/>
      <c r="T44" s="1403"/>
      <c r="U44" s="1403"/>
      <c r="V44" s="1403"/>
      <c r="W44" s="1403"/>
      <c r="X44" s="1404"/>
      <c r="Y44" s="1350" t="s">
        <v>601</v>
      </c>
      <c r="Z44" s="1351"/>
      <c r="AA44" s="1351"/>
      <c r="AB44" s="1351"/>
      <c r="AC44" s="1351"/>
      <c r="AD44" s="1352"/>
      <c r="AE44" s="1350" t="s">
        <v>521</v>
      </c>
      <c r="AF44" s="1351"/>
      <c r="AG44" s="1351"/>
      <c r="AH44" s="1352"/>
      <c r="AI44" s="1350" t="s">
        <v>562</v>
      </c>
      <c r="AJ44" s="1351"/>
      <c r="AK44" s="1351"/>
      <c r="AL44" s="1351"/>
      <c r="AM44" s="1351"/>
      <c r="AN44" s="1351"/>
      <c r="AO44" s="1421"/>
    </row>
    <row r="45" spans="1:41">
      <c r="A45" s="1543"/>
      <c r="B45" s="1544"/>
      <c r="C45" s="1544"/>
      <c r="D45" s="1544"/>
      <c r="E45" s="1544"/>
      <c r="F45" s="1544"/>
      <c r="G45" s="1544"/>
      <c r="H45" s="1544"/>
      <c r="I45" s="1544"/>
      <c r="J45" s="1544"/>
      <c r="K45" s="1544"/>
      <c r="L45" s="1544"/>
      <c r="M45" s="1545"/>
      <c r="N45" s="1344"/>
      <c r="O45" s="1345"/>
      <c r="P45" s="1345"/>
      <c r="Q45" s="1345"/>
      <c r="R45" s="1345"/>
      <c r="S45" s="1345"/>
      <c r="T45" s="1345"/>
      <c r="U45" s="1345"/>
      <c r="V45" s="1345"/>
      <c r="W45" s="1345"/>
      <c r="X45" s="1359"/>
      <c r="Y45" s="1408"/>
      <c r="Z45" s="1374"/>
      <c r="AA45" s="1374"/>
      <c r="AB45" s="1374"/>
      <c r="AC45" s="1374"/>
      <c r="AD45" s="1375"/>
      <c r="AE45" s="1344"/>
      <c r="AF45" s="1345"/>
      <c r="AG45" s="1345"/>
      <c r="AH45" s="1359"/>
      <c r="AI45" s="1344"/>
      <c r="AJ45" s="1345"/>
      <c r="AK45" s="1345"/>
      <c r="AL45" s="1345"/>
      <c r="AM45" s="1345"/>
      <c r="AN45" s="1345"/>
      <c r="AO45" s="1346"/>
    </row>
    <row r="46" spans="1:41">
      <c r="A46" s="1546"/>
      <c r="B46" s="1544"/>
      <c r="C46" s="1544"/>
      <c r="D46" s="1544"/>
      <c r="E46" s="1544"/>
      <c r="F46" s="1544"/>
      <c r="G46" s="1544"/>
      <c r="H46" s="1544"/>
      <c r="I46" s="1544"/>
      <c r="J46" s="1544"/>
      <c r="K46" s="1544"/>
      <c r="L46" s="1544"/>
      <c r="M46" s="1545"/>
      <c r="N46" s="1344"/>
      <c r="O46" s="1345"/>
      <c r="P46" s="1345"/>
      <c r="Q46" s="1345"/>
      <c r="R46" s="1345"/>
      <c r="S46" s="1345"/>
      <c r="T46" s="1345"/>
      <c r="U46" s="1345"/>
      <c r="V46" s="1345"/>
      <c r="W46" s="1345"/>
      <c r="X46" s="1359"/>
      <c r="Y46" s="1373"/>
      <c r="Z46" s="1374"/>
      <c r="AA46" s="1374"/>
      <c r="AB46" s="1374"/>
      <c r="AC46" s="1374"/>
      <c r="AD46" s="1375"/>
      <c r="AE46" s="1344"/>
      <c r="AF46" s="1345"/>
      <c r="AG46" s="1345"/>
      <c r="AH46" s="1359"/>
      <c r="AI46" s="1344"/>
      <c r="AJ46" s="1345"/>
      <c r="AK46" s="1345"/>
      <c r="AL46" s="1345"/>
      <c r="AM46" s="1345"/>
      <c r="AN46" s="1345"/>
      <c r="AO46" s="1346"/>
    </row>
    <row r="47" spans="1:41">
      <c r="A47" s="1546"/>
      <c r="B47" s="1544"/>
      <c r="C47" s="1544"/>
      <c r="D47" s="1544"/>
      <c r="E47" s="1544"/>
      <c r="F47" s="1544"/>
      <c r="G47" s="1544"/>
      <c r="H47" s="1544"/>
      <c r="I47" s="1544"/>
      <c r="J47" s="1544"/>
      <c r="K47" s="1544"/>
      <c r="L47" s="1544"/>
      <c r="M47" s="1545"/>
      <c r="N47" s="1344"/>
      <c r="O47" s="1345"/>
      <c r="P47" s="1345"/>
      <c r="Q47" s="1345"/>
      <c r="R47" s="1345"/>
      <c r="S47" s="1345"/>
      <c r="T47" s="1345"/>
      <c r="U47" s="1345"/>
      <c r="V47" s="1345"/>
      <c r="W47" s="1345"/>
      <c r="X47" s="1359"/>
      <c r="Y47" s="1373"/>
      <c r="Z47" s="1374"/>
      <c r="AA47" s="1374"/>
      <c r="AB47" s="1374"/>
      <c r="AC47" s="1374"/>
      <c r="AD47" s="1375"/>
      <c r="AE47" s="1344"/>
      <c r="AF47" s="1345"/>
      <c r="AG47" s="1345"/>
      <c r="AH47" s="1359"/>
      <c r="AI47" s="1344"/>
      <c r="AJ47" s="1345"/>
      <c r="AK47" s="1345"/>
      <c r="AL47" s="1345"/>
      <c r="AM47" s="1345"/>
      <c r="AN47" s="1345"/>
      <c r="AO47" s="1346"/>
    </row>
    <row r="48" spans="1:41">
      <c r="A48" s="1546"/>
      <c r="B48" s="1544"/>
      <c r="C48" s="1544"/>
      <c r="D48" s="1544"/>
      <c r="E48" s="1544"/>
      <c r="F48" s="1544"/>
      <c r="G48" s="1544"/>
      <c r="H48" s="1544"/>
      <c r="I48" s="1544"/>
      <c r="J48" s="1544"/>
      <c r="K48" s="1544"/>
      <c r="L48" s="1544"/>
      <c r="M48" s="1545"/>
      <c r="N48" s="1344"/>
      <c r="O48" s="1345"/>
      <c r="P48" s="1345"/>
      <c r="Q48" s="1345"/>
      <c r="R48" s="1345"/>
      <c r="S48" s="1345"/>
      <c r="T48" s="1345"/>
      <c r="U48" s="1345"/>
      <c r="V48" s="1345"/>
      <c r="W48" s="1345"/>
      <c r="X48" s="1359"/>
      <c r="Y48" s="1373"/>
      <c r="Z48" s="1374"/>
      <c r="AA48" s="1374"/>
      <c r="AB48" s="1374"/>
      <c r="AC48" s="1374"/>
      <c r="AD48" s="1375"/>
      <c r="AE48" s="1344"/>
      <c r="AF48" s="1345"/>
      <c r="AG48" s="1345"/>
      <c r="AH48" s="1359"/>
      <c r="AI48" s="1344"/>
      <c r="AJ48" s="1345"/>
      <c r="AK48" s="1345"/>
      <c r="AL48" s="1345"/>
      <c r="AM48" s="1345"/>
      <c r="AN48" s="1345"/>
      <c r="AO48" s="1346"/>
    </row>
    <row r="49" spans="1:41">
      <c r="A49" s="1547"/>
      <c r="B49" s="1548"/>
      <c r="C49" s="1548"/>
      <c r="D49" s="1548"/>
      <c r="E49" s="1548"/>
      <c r="F49" s="1548"/>
      <c r="G49" s="1548"/>
      <c r="H49" s="1548"/>
      <c r="I49" s="1548"/>
      <c r="J49" s="1548"/>
      <c r="K49" s="1548"/>
      <c r="L49" s="1548"/>
      <c r="M49" s="1549"/>
      <c r="N49" s="1344"/>
      <c r="O49" s="1345"/>
      <c r="P49" s="1345"/>
      <c r="Q49" s="1345"/>
      <c r="R49" s="1345"/>
      <c r="S49" s="1345"/>
      <c r="T49" s="1345"/>
      <c r="U49" s="1345"/>
      <c r="V49" s="1345"/>
      <c r="W49" s="1345"/>
      <c r="X49" s="1359"/>
      <c r="Y49" s="1373"/>
      <c r="Z49" s="1374"/>
      <c r="AA49" s="1374"/>
      <c r="AB49" s="1374"/>
      <c r="AC49" s="1374"/>
      <c r="AD49" s="1375"/>
      <c r="AE49" s="1344"/>
      <c r="AF49" s="1345"/>
      <c r="AG49" s="1345"/>
      <c r="AH49" s="1359"/>
      <c r="AI49" s="1344"/>
      <c r="AJ49" s="1345"/>
      <c r="AK49" s="1345"/>
      <c r="AL49" s="1345"/>
      <c r="AM49" s="1345"/>
      <c r="AN49" s="1345"/>
      <c r="AO49" s="1346"/>
    </row>
    <row r="50" spans="1:41">
      <c r="A50" s="1521" t="s">
        <v>381</v>
      </c>
      <c r="B50" s="1403"/>
      <c r="C50" s="1403"/>
      <c r="D50" s="1403"/>
      <c r="E50" s="1403"/>
      <c r="F50" s="1403"/>
      <c r="G50" s="1522"/>
      <c r="H50" s="1454" t="s">
        <v>544</v>
      </c>
      <c r="I50" s="1454"/>
      <c r="J50" s="1454"/>
      <c r="K50" s="1454"/>
      <c r="L50" s="1454"/>
      <c r="M50" s="1455"/>
      <c r="N50" s="1402" t="s">
        <v>382</v>
      </c>
      <c r="O50" s="1403"/>
      <c r="P50" s="1403"/>
      <c r="Q50" s="1403"/>
      <c r="R50" s="1403"/>
      <c r="S50" s="1404"/>
      <c r="T50" s="1402" t="s">
        <v>435</v>
      </c>
      <c r="U50" s="1403"/>
      <c r="V50" s="1403"/>
      <c r="W50" s="1403"/>
      <c r="X50" s="1404"/>
      <c r="Y50" s="1356" t="s">
        <v>390</v>
      </c>
      <c r="Z50" s="1354"/>
      <c r="AA50" s="1354"/>
      <c r="AB50" s="1354"/>
      <c r="AC50" s="1354"/>
      <c r="AD50" s="1354"/>
      <c r="AE50" s="1354"/>
      <c r="AF50" s="1354"/>
      <c r="AG50" s="1354"/>
      <c r="AH50" s="1357"/>
      <c r="AI50" s="1353" t="s">
        <v>545</v>
      </c>
      <c r="AJ50" s="1354"/>
      <c r="AK50" s="1354"/>
      <c r="AL50" s="1354"/>
      <c r="AM50" s="1354"/>
      <c r="AN50" s="1354"/>
      <c r="AO50" s="1355"/>
    </row>
    <row r="51" spans="1:41" s="43" customFormat="1" ht="15.75" customHeight="1">
      <c r="A51" s="1439"/>
      <c r="B51" s="1440"/>
      <c r="C51" s="1440"/>
      <c r="D51" s="1440"/>
      <c r="E51" s="1440"/>
      <c r="F51" s="1440"/>
      <c r="G51" s="1441"/>
      <c r="H51" s="1344"/>
      <c r="I51" s="1345"/>
      <c r="J51" s="1345"/>
      <c r="K51" s="1345"/>
      <c r="L51" s="1345"/>
      <c r="M51" s="1359"/>
      <c r="N51" s="1344"/>
      <c r="O51" s="1345"/>
      <c r="P51" s="1345"/>
      <c r="Q51" s="1345"/>
      <c r="R51" s="1345"/>
      <c r="S51" s="1359"/>
      <c r="T51" s="1344"/>
      <c r="U51" s="1345"/>
      <c r="V51" s="1345"/>
      <c r="W51" s="1345"/>
      <c r="X51" s="1359"/>
      <c r="Y51" s="1442"/>
      <c r="Z51" s="1443"/>
      <c r="AA51" s="1443"/>
      <c r="AB51" s="1443"/>
      <c r="AC51" s="1443"/>
      <c r="AD51" s="1443"/>
      <c r="AE51" s="1443"/>
      <c r="AF51" s="1443"/>
      <c r="AG51" s="1443"/>
      <c r="AH51" s="1444"/>
      <c r="AI51" s="1415"/>
      <c r="AJ51" s="1416"/>
      <c r="AK51" s="1416"/>
      <c r="AL51" s="1416"/>
      <c r="AM51" s="1416"/>
      <c r="AN51" s="1416"/>
      <c r="AO51" s="1417"/>
    </row>
    <row r="52" spans="1:41">
      <c r="A52" s="1380" t="s">
        <v>1069</v>
      </c>
      <c r="B52" s="1381"/>
      <c r="C52" s="1382"/>
      <c r="D52" s="1552" t="s">
        <v>1070</v>
      </c>
      <c r="E52" s="1381"/>
      <c r="F52" s="1553"/>
      <c r="G52" s="1356" t="s">
        <v>538</v>
      </c>
      <c r="H52" s="1354"/>
      <c r="I52" s="1354"/>
      <c r="J52" s="1354"/>
      <c r="K52" s="1376"/>
      <c r="L52" s="1358" t="s">
        <v>551</v>
      </c>
      <c r="M52" s="1348"/>
      <c r="N52" s="1348"/>
      <c r="O52" s="1348"/>
      <c r="P52" s="1348"/>
      <c r="Q52" s="1349"/>
      <c r="R52" s="1358" t="s">
        <v>523</v>
      </c>
      <c r="S52" s="1348"/>
      <c r="T52" s="1348"/>
      <c r="U52" s="1348"/>
      <c r="V52" s="1348"/>
      <c r="W52" s="1348"/>
      <c r="X52" s="1349"/>
      <c r="Y52" s="1445"/>
      <c r="Z52" s="1443"/>
      <c r="AA52" s="1443"/>
      <c r="AB52" s="1443"/>
      <c r="AC52" s="1443"/>
      <c r="AD52" s="1443"/>
      <c r="AE52" s="1443"/>
      <c r="AF52" s="1443"/>
      <c r="AG52" s="1443"/>
      <c r="AH52" s="1444"/>
      <c r="AI52" s="1415"/>
      <c r="AJ52" s="1416"/>
      <c r="AK52" s="1416"/>
      <c r="AL52" s="1416"/>
      <c r="AM52" s="1416"/>
      <c r="AN52" s="1416"/>
      <c r="AO52" s="1417"/>
    </row>
    <row r="53" spans="1:41">
      <c r="A53" s="1383"/>
      <c r="B53" s="1384"/>
      <c r="C53" s="1384"/>
      <c r="D53" s="1452"/>
      <c r="E53" s="1384"/>
      <c r="F53" s="1453"/>
      <c r="G53" s="1377"/>
      <c r="H53" s="1378"/>
      <c r="I53" s="1379"/>
      <c r="J53" s="864" t="s">
        <v>554</v>
      </c>
      <c r="K53" s="828"/>
      <c r="L53" s="1519" t="e">
        <f>A53/G53</f>
        <v>#DIV/0!</v>
      </c>
      <c r="M53" s="1520"/>
      <c r="N53" s="1520"/>
      <c r="O53" s="905" t="s">
        <v>555</v>
      </c>
      <c r="P53" s="6"/>
      <c r="Q53" s="22"/>
      <c r="R53" s="1344"/>
      <c r="S53" s="1345"/>
      <c r="T53" s="1345"/>
      <c r="U53" s="1345"/>
      <c r="V53" s="1345"/>
      <c r="W53" s="1345"/>
      <c r="X53" s="1359"/>
      <c r="Y53" s="1446"/>
      <c r="Z53" s="1447"/>
      <c r="AA53" s="1447"/>
      <c r="AB53" s="1447"/>
      <c r="AC53" s="1447"/>
      <c r="AD53" s="1447"/>
      <c r="AE53" s="1447"/>
      <c r="AF53" s="1447"/>
      <c r="AG53" s="1447"/>
      <c r="AH53" s="1448"/>
      <c r="AI53" s="1418"/>
      <c r="AJ53" s="1419"/>
      <c r="AK53" s="1419"/>
      <c r="AL53" s="1419"/>
      <c r="AM53" s="1419"/>
      <c r="AN53" s="1419"/>
      <c r="AO53" s="1420"/>
    </row>
    <row r="54" spans="1:41">
      <c r="A54" s="1347" t="s">
        <v>376</v>
      </c>
      <c r="B54" s="1348"/>
      <c r="C54" s="1348"/>
      <c r="D54" s="1348"/>
      <c r="E54" s="1349"/>
      <c r="F54" s="1358" t="s">
        <v>377</v>
      </c>
      <c r="G54" s="1348"/>
      <c r="H54" s="1348"/>
      <c r="I54" s="1348"/>
      <c r="J54" s="1348"/>
      <c r="K54" s="1349"/>
      <c r="L54" s="1468" t="s">
        <v>557</v>
      </c>
      <c r="M54" s="1469"/>
      <c r="N54" s="1469"/>
      <c r="O54" s="1469"/>
      <c r="P54" s="1469"/>
      <c r="Q54" s="1470"/>
      <c r="R54" s="1358" t="s">
        <v>383</v>
      </c>
      <c r="S54" s="1348"/>
      <c r="T54" s="1348"/>
      <c r="U54" s="1348"/>
      <c r="V54" s="1348"/>
      <c r="W54" s="1348"/>
      <c r="X54" s="1349"/>
      <c r="Y54" s="1471" t="s">
        <v>384</v>
      </c>
      <c r="Z54" s="1472"/>
      <c r="AA54" s="1472"/>
      <c r="AB54" s="1472"/>
      <c r="AC54" s="1472"/>
      <c r="AD54" s="1472"/>
      <c r="AE54" s="1473"/>
      <c r="AF54" s="1456" t="s">
        <v>232</v>
      </c>
      <c r="AG54" s="1348"/>
      <c r="AH54" s="1348"/>
      <c r="AI54" s="1348"/>
      <c r="AJ54" s="1467"/>
      <c r="AK54" s="1456" t="s">
        <v>54</v>
      </c>
      <c r="AL54" s="1348"/>
      <c r="AM54" s="1348"/>
      <c r="AN54" s="1348"/>
      <c r="AO54" s="1457"/>
    </row>
    <row r="55" spans="1:41" s="38" customFormat="1" ht="16.5" customHeight="1">
      <c r="A55" s="1439"/>
      <c r="B55" s="1345"/>
      <c r="C55" s="1345"/>
      <c r="D55" s="1345"/>
      <c r="E55" s="1359"/>
      <c r="F55" s="1344"/>
      <c r="G55" s="1345"/>
      <c r="H55" s="1345"/>
      <c r="I55" s="1345"/>
      <c r="J55" s="1345"/>
      <c r="K55" s="1359"/>
      <c r="L55" s="1344"/>
      <c r="M55" s="1345"/>
      <c r="N55" s="1345"/>
      <c r="O55" s="1345"/>
      <c r="P55" s="1345"/>
      <c r="Q55" s="1359"/>
      <c r="R55" s="1449"/>
      <c r="S55" s="1450"/>
      <c r="T55" s="1450"/>
      <c r="U55" s="1450"/>
      <c r="V55" s="1450"/>
      <c r="W55" s="1450"/>
      <c r="X55" s="1451"/>
      <c r="Y55" s="1540"/>
      <c r="Z55" s="1541"/>
      <c r="AA55" s="1541"/>
      <c r="AB55" s="1541"/>
      <c r="AC55" s="1541"/>
      <c r="AD55" s="1541"/>
      <c r="AE55" s="1542"/>
      <c r="AF55" s="1527"/>
      <c r="AG55" s="1528"/>
      <c r="AH55" s="1528"/>
      <c r="AI55" s="1528"/>
      <c r="AJ55" s="1531"/>
      <c r="AK55" s="1527"/>
      <c r="AL55" s="1528"/>
      <c r="AM55" s="1528"/>
      <c r="AN55" s="1528"/>
      <c r="AO55" s="1529"/>
    </row>
    <row r="56" spans="1:41" s="38" customFormat="1" ht="15.75">
      <c r="A56" s="105" t="s">
        <v>872</v>
      </c>
      <c r="B56" s="106"/>
      <c r="C56" s="106"/>
      <c r="D56" s="106"/>
      <c r="E56" s="106"/>
      <c r="F56" s="106"/>
      <c r="G56" s="106"/>
      <c r="H56" s="106"/>
      <c r="I56" s="106"/>
      <c r="J56" s="106"/>
      <c r="K56" s="106"/>
      <c r="L56" s="106"/>
      <c r="M56" s="106"/>
      <c r="N56" s="106"/>
      <c r="O56" s="106"/>
      <c r="P56" s="106"/>
      <c r="Q56" s="106"/>
      <c r="R56" s="106"/>
      <c r="S56" s="106"/>
      <c r="T56" s="106"/>
      <c r="U56" s="106"/>
      <c r="V56" s="106"/>
      <c r="W56" s="106"/>
      <c r="X56" s="106"/>
      <c r="Y56" s="106"/>
      <c r="Z56" s="106"/>
      <c r="AA56" s="106"/>
      <c r="AB56" s="106"/>
      <c r="AC56" s="106"/>
      <c r="AD56" s="106"/>
      <c r="AE56" s="106"/>
      <c r="AF56" s="106"/>
      <c r="AG56" s="106"/>
      <c r="AH56" s="106"/>
      <c r="AI56" s="106"/>
      <c r="AJ56" s="106"/>
      <c r="AK56" s="106"/>
      <c r="AL56" s="106"/>
      <c r="AM56" s="106"/>
      <c r="AN56" s="106"/>
      <c r="AO56" s="107"/>
    </row>
    <row r="57" spans="1:41" s="38" customFormat="1">
      <c r="A57" s="1537" t="s">
        <v>539</v>
      </c>
      <c r="B57" s="1469"/>
      <c r="C57" s="1469"/>
      <c r="D57" s="1469"/>
      <c r="E57" s="1469"/>
      <c r="F57" s="1469"/>
      <c r="G57" s="1469"/>
      <c r="H57" s="1469"/>
      <c r="I57" s="1469"/>
      <c r="J57" s="1538"/>
      <c r="K57" s="1538"/>
      <c r="L57" s="1538"/>
      <c r="M57" s="1538"/>
      <c r="N57" s="1538"/>
      <c r="O57" s="1538"/>
      <c r="P57" s="1538"/>
      <c r="Q57" s="1538"/>
      <c r="R57" s="1538"/>
      <c r="S57" s="1538"/>
      <c r="T57" s="1538"/>
      <c r="U57" s="1538"/>
      <c r="V57" s="1538"/>
      <c r="W57" s="1538"/>
      <c r="X57" s="1538"/>
      <c r="Y57" s="1539"/>
      <c r="Z57" s="108" t="s">
        <v>560</v>
      </c>
      <c r="AA57" s="51"/>
      <c r="AB57" s="51"/>
      <c r="AC57" s="51"/>
      <c r="AD57" s="51"/>
      <c r="AE57" s="51"/>
      <c r="AF57" s="51"/>
      <c r="AG57" s="51"/>
      <c r="AH57" s="51"/>
      <c r="AI57" s="51"/>
      <c r="AJ57" s="51"/>
      <c r="AK57" s="51"/>
      <c r="AL57" s="51"/>
      <c r="AM57" s="51"/>
      <c r="AN57" s="51"/>
      <c r="AO57" s="196"/>
    </row>
    <row r="58" spans="1:41" s="38" customFormat="1" ht="13.5" thickBot="1">
      <c r="A58" s="1458"/>
      <c r="B58" s="1459"/>
      <c r="C58" s="1459"/>
      <c r="D58" s="1459"/>
      <c r="E58" s="1459"/>
      <c r="F58" s="1459"/>
      <c r="G58" s="1459"/>
      <c r="H58" s="1459"/>
      <c r="I58" s="1459"/>
      <c r="J58" s="1459"/>
      <c r="K58" s="1459"/>
      <c r="L58" s="1459"/>
      <c r="M58" s="1459"/>
      <c r="N58" s="1459"/>
      <c r="O58" s="1459"/>
      <c r="P58" s="1459"/>
      <c r="Q58" s="1460"/>
      <c r="R58" s="1460"/>
      <c r="S58" s="1460"/>
      <c r="T58" s="1460"/>
      <c r="U58" s="1460"/>
      <c r="V58" s="1460"/>
      <c r="W58" s="1460"/>
      <c r="X58" s="1460"/>
      <c r="Y58" s="1461"/>
      <c r="Z58" s="1458"/>
      <c r="AA58" s="1550"/>
      <c r="AB58" s="1550"/>
      <c r="AC58" s="1550"/>
      <c r="AD58" s="1550"/>
      <c r="AE58" s="1550"/>
      <c r="AF58" s="1550"/>
      <c r="AG58" s="1550"/>
      <c r="AH58" s="1550"/>
      <c r="AI58" s="1550"/>
      <c r="AJ58" s="1550"/>
      <c r="AK58" s="1550"/>
      <c r="AL58" s="1550"/>
      <c r="AM58" s="1550"/>
      <c r="AN58" s="1550"/>
      <c r="AO58" s="1551"/>
    </row>
    <row r="59" spans="1:41" ht="16.5" thickBot="1">
      <c r="A59" s="109" t="s">
        <v>609</v>
      </c>
      <c r="B59" s="53"/>
      <c r="C59" s="53"/>
      <c r="D59" s="53"/>
      <c r="E59" s="53"/>
      <c r="F59" s="53"/>
      <c r="G59" s="53"/>
      <c r="H59" s="53"/>
      <c r="I59" s="53"/>
      <c r="J59" s="53"/>
      <c r="K59" s="53"/>
      <c r="L59" s="54"/>
      <c r="M59" s="54"/>
      <c r="N59" s="54"/>
      <c r="O59" s="54"/>
      <c r="P59" s="54"/>
      <c r="Q59" s="54"/>
      <c r="R59" s="54"/>
      <c r="S59" s="54"/>
      <c r="T59" s="54"/>
      <c r="U59" s="54"/>
      <c r="V59" s="54"/>
      <c r="W59" s="54"/>
      <c r="X59" s="54"/>
      <c r="Y59" s="54"/>
      <c r="Z59" s="54"/>
      <c r="AA59" s="54"/>
      <c r="AB59" s="54"/>
      <c r="AC59" s="54"/>
      <c r="AD59" s="54"/>
      <c r="AE59" s="54"/>
      <c r="AF59" s="54"/>
      <c r="AG59" s="54"/>
      <c r="AH59" s="54"/>
      <c r="AI59" s="54"/>
      <c r="AJ59" s="54"/>
      <c r="AK59" s="54"/>
      <c r="AL59" s="54"/>
      <c r="AM59" s="54"/>
      <c r="AN59" s="54"/>
      <c r="AO59" s="110"/>
    </row>
    <row r="60" spans="1:41">
      <c r="A60" s="1436" t="s">
        <v>610</v>
      </c>
      <c r="B60" s="1437"/>
      <c r="C60" s="1437"/>
      <c r="D60" s="1437"/>
      <c r="E60" s="1437"/>
      <c r="F60" s="1437"/>
      <c r="G60" s="1437"/>
      <c r="H60" s="1437"/>
      <c r="I60" s="1438"/>
      <c r="J60" s="1465" t="s">
        <v>611</v>
      </c>
      <c r="K60" s="1437"/>
      <c r="L60" s="1466"/>
      <c r="M60" s="1518" t="s">
        <v>612</v>
      </c>
      <c r="N60" s="1437"/>
      <c r="O60" s="1437"/>
      <c r="P60" s="1437"/>
      <c r="Q60" s="1437"/>
      <c r="R60" s="1437"/>
      <c r="S60" s="1437"/>
      <c r="T60" s="1437"/>
      <c r="U60" s="1437"/>
      <c r="V60" s="1437"/>
      <c r="W60" s="1466"/>
      <c r="X60" s="1518" t="s">
        <v>611</v>
      </c>
      <c r="Y60" s="1437"/>
      <c r="Z60" s="1437"/>
      <c r="AA60" s="1438"/>
      <c r="AB60" s="1465" t="s">
        <v>613</v>
      </c>
      <c r="AC60" s="1437"/>
      <c r="AD60" s="1437"/>
      <c r="AE60" s="1437"/>
      <c r="AF60" s="1437"/>
      <c r="AG60" s="1437"/>
      <c r="AH60" s="1437"/>
      <c r="AI60" s="1437"/>
      <c r="AJ60" s="1437"/>
      <c r="AK60" s="1437"/>
      <c r="AL60" s="1466"/>
      <c r="AM60" s="1518" t="s">
        <v>611</v>
      </c>
      <c r="AN60" s="1437"/>
      <c r="AO60" s="1532"/>
    </row>
    <row r="61" spans="1:41">
      <c r="A61" s="1432"/>
      <c r="B61" s="1433"/>
      <c r="C61" s="1433"/>
      <c r="D61" s="1433"/>
      <c r="E61" s="1433"/>
      <c r="F61" s="1433"/>
      <c r="G61" s="1433"/>
      <c r="H61" s="1433"/>
      <c r="I61" s="1434"/>
      <c r="J61" s="1435"/>
      <c r="K61" s="1433"/>
      <c r="L61" s="1434"/>
      <c r="M61" s="1435"/>
      <c r="N61" s="1433"/>
      <c r="O61" s="1433"/>
      <c r="P61" s="1433"/>
      <c r="Q61" s="1433"/>
      <c r="R61" s="1433"/>
      <c r="S61" s="1433"/>
      <c r="T61" s="1433"/>
      <c r="U61" s="1433"/>
      <c r="V61" s="1433"/>
      <c r="W61" s="1434"/>
      <c r="X61" s="1462"/>
      <c r="Y61" s="1463"/>
      <c r="Z61" s="1463"/>
      <c r="AA61" s="1464"/>
      <c r="AB61" s="1435"/>
      <c r="AC61" s="1433"/>
      <c r="AD61" s="1433"/>
      <c r="AE61" s="1433"/>
      <c r="AF61" s="1433"/>
      <c r="AG61" s="1433"/>
      <c r="AH61" s="1433"/>
      <c r="AI61" s="1433"/>
      <c r="AJ61" s="1433"/>
      <c r="AK61" s="1433"/>
      <c r="AL61" s="1434"/>
      <c r="AM61" s="1435"/>
      <c r="AN61" s="1433"/>
      <c r="AO61" s="1530"/>
    </row>
    <row r="62" spans="1:41">
      <c r="A62" s="1432"/>
      <c r="B62" s="1433"/>
      <c r="C62" s="1433"/>
      <c r="D62" s="1433"/>
      <c r="E62" s="1433"/>
      <c r="F62" s="1433"/>
      <c r="G62" s="1433"/>
      <c r="H62" s="1433"/>
      <c r="I62" s="1434"/>
      <c r="J62" s="1435"/>
      <c r="K62" s="1433"/>
      <c r="L62" s="1434"/>
      <c r="M62" s="1435"/>
      <c r="N62" s="1433"/>
      <c r="O62" s="1433"/>
      <c r="P62" s="1433"/>
      <c r="Q62" s="1433"/>
      <c r="R62" s="1433"/>
      <c r="S62" s="1433"/>
      <c r="T62" s="1433"/>
      <c r="U62" s="1433"/>
      <c r="V62" s="1433"/>
      <c r="W62" s="1434"/>
      <c r="X62" s="1462"/>
      <c r="Y62" s="1463"/>
      <c r="Z62" s="1463"/>
      <c r="AA62" s="1464"/>
      <c r="AB62" s="1435"/>
      <c r="AC62" s="1433"/>
      <c r="AD62" s="1433"/>
      <c r="AE62" s="1433"/>
      <c r="AF62" s="1433"/>
      <c r="AG62" s="1433"/>
      <c r="AH62" s="1433"/>
      <c r="AI62" s="1433"/>
      <c r="AJ62" s="1433"/>
      <c r="AK62" s="1433"/>
      <c r="AL62" s="1434"/>
      <c r="AM62" s="1435"/>
      <c r="AN62" s="1433"/>
      <c r="AO62" s="1530"/>
    </row>
    <row r="63" spans="1:41">
      <c r="A63" s="1432"/>
      <c r="B63" s="1433"/>
      <c r="C63" s="1433"/>
      <c r="D63" s="1433"/>
      <c r="E63" s="1433"/>
      <c r="F63" s="1433"/>
      <c r="G63" s="1433"/>
      <c r="H63" s="1433"/>
      <c r="I63" s="1434"/>
      <c r="J63" s="1435"/>
      <c r="K63" s="1433"/>
      <c r="L63" s="1434"/>
      <c r="M63" s="1435"/>
      <c r="N63" s="1433"/>
      <c r="O63" s="1433"/>
      <c r="P63" s="1433"/>
      <c r="Q63" s="1433"/>
      <c r="R63" s="1433"/>
      <c r="S63" s="1433"/>
      <c r="T63" s="1433"/>
      <c r="U63" s="1433"/>
      <c r="V63" s="1433"/>
      <c r="W63" s="1434"/>
      <c r="X63" s="1462"/>
      <c r="Y63" s="1463"/>
      <c r="Z63" s="1463"/>
      <c r="AA63" s="1464"/>
      <c r="AB63" s="1435"/>
      <c r="AC63" s="1433"/>
      <c r="AD63" s="1433"/>
      <c r="AE63" s="1433"/>
      <c r="AF63" s="1433"/>
      <c r="AG63" s="1433"/>
      <c r="AH63" s="1433"/>
      <c r="AI63" s="1433"/>
      <c r="AJ63" s="1433"/>
      <c r="AK63" s="1433"/>
      <c r="AL63" s="1434"/>
      <c r="AM63" s="1435"/>
      <c r="AN63" s="1433"/>
      <c r="AO63" s="1530"/>
    </row>
    <row r="64" spans="1:41" ht="13.5" thickBot="1">
      <c r="A64" s="1428"/>
      <c r="B64" s="1429"/>
      <c r="C64" s="1429"/>
      <c r="D64" s="1429"/>
      <c r="E64" s="1429"/>
      <c r="F64" s="1429"/>
      <c r="G64" s="1429"/>
      <c r="H64" s="1429"/>
      <c r="I64" s="1430"/>
      <c r="J64" s="1431"/>
      <c r="K64" s="1429"/>
      <c r="L64" s="1430"/>
      <c r="M64" s="1431"/>
      <c r="N64" s="1429"/>
      <c r="O64" s="1429"/>
      <c r="P64" s="1429"/>
      <c r="Q64" s="1429"/>
      <c r="R64" s="1429"/>
      <c r="S64" s="1429"/>
      <c r="T64" s="1429"/>
      <c r="U64" s="1429"/>
      <c r="V64" s="1429"/>
      <c r="W64" s="1430"/>
      <c r="X64" s="1534"/>
      <c r="Y64" s="1535"/>
      <c r="Z64" s="1535"/>
      <c r="AA64" s="1536"/>
      <c r="AB64" s="1431"/>
      <c r="AC64" s="1429"/>
      <c r="AD64" s="1429"/>
      <c r="AE64" s="1429"/>
      <c r="AF64" s="1429"/>
      <c r="AG64" s="1429"/>
      <c r="AH64" s="1429"/>
      <c r="AI64" s="1429"/>
      <c r="AJ64" s="1429"/>
      <c r="AK64" s="1429"/>
      <c r="AL64" s="1430"/>
      <c r="AM64" s="1431"/>
      <c r="AN64" s="1429"/>
      <c r="AO64" s="1533"/>
    </row>
    <row r="67" spans="1:1">
      <c r="A67" s="46"/>
    </row>
  </sheetData>
  <sheetProtection password="C9E9" sheet="1" objects="1" scenarios="1"/>
  <mergeCells count="206">
    <mergeCell ref="A33:L33"/>
    <mergeCell ref="AB64:AL64"/>
    <mergeCell ref="AK55:AO55"/>
    <mergeCell ref="AM63:AO63"/>
    <mergeCell ref="X60:AA60"/>
    <mergeCell ref="AF55:AJ55"/>
    <mergeCell ref="AM60:AO60"/>
    <mergeCell ref="AM64:AO64"/>
    <mergeCell ref="X64:AA64"/>
    <mergeCell ref="AB62:AL62"/>
    <mergeCell ref="AM62:AO62"/>
    <mergeCell ref="AM61:AO61"/>
    <mergeCell ref="X62:AA62"/>
    <mergeCell ref="X63:AA63"/>
    <mergeCell ref="A57:Y57"/>
    <mergeCell ref="Y55:AE55"/>
    <mergeCell ref="AB60:AL60"/>
    <mergeCell ref="A62:I62"/>
    <mergeCell ref="Q40:T40"/>
    <mergeCell ref="A45:M49"/>
    <mergeCell ref="N48:X48"/>
    <mergeCell ref="N47:X47"/>
    <mergeCell ref="Z58:AO58"/>
    <mergeCell ref="D52:F52"/>
    <mergeCell ref="N25:T25"/>
    <mergeCell ref="Q26:T26"/>
    <mergeCell ref="N29:T29"/>
    <mergeCell ref="M60:W60"/>
    <mergeCell ref="H51:M51"/>
    <mergeCell ref="L53:N53"/>
    <mergeCell ref="B32:K32"/>
    <mergeCell ref="A55:E55"/>
    <mergeCell ref="A50:G50"/>
    <mergeCell ref="B36:K36"/>
    <mergeCell ref="A29:L29"/>
    <mergeCell ref="B26:K26"/>
    <mergeCell ref="A27:L27"/>
    <mergeCell ref="B28:K28"/>
    <mergeCell ref="A25:L25"/>
    <mergeCell ref="B30:K30"/>
    <mergeCell ref="Q31:T31"/>
    <mergeCell ref="N34:T34"/>
    <mergeCell ref="N30:T30"/>
    <mergeCell ref="B34:K34"/>
    <mergeCell ref="A31:L31"/>
    <mergeCell ref="A44:M44"/>
    <mergeCell ref="N38:T38"/>
    <mergeCell ref="N45:X45"/>
    <mergeCell ref="V19:Z19"/>
    <mergeCell ref="W24:Z24"/>
    <mergeCell ref="B22:K22"/>
    <mergeCell ref="W20:Z20"/>
    <mergeCell ref="O20:S20"/>
    <mergeCell ref="O22:S22"/>
    <mergeCell ref="N24:T24"/>
    <mergeCell ref="H19:K19"/>
    <mergeCell ref="K11:Q11"/>
    <mergeCell ref="A12:AO12"/>
    <mergeCell ref="H18:K18"/>
    <mergeCell ref="W18:Z18"/>
    <mergeCell ref="H17:K17"/>
    <mergeCell ref="AN17:AO17"/>
    <mergeCell ref="AK18:AO18"/>
    <mergeCell ref="AC18:AJ18"/>
    <mergeCell ref="O18:S18"/>
    <mergeCell ref="C18:G18"/>
    <mergeCell ref="C19:G19"/>
    <mergeCell ref="D24:E24"/>
    <mergeCell ref="G24:K24"/>
    <mergeCell ref="A21:L21"/>
    <mergeCell ref="AN24:AO24"/>
    <mergeCell ref="AC19:AG19"/>
    <mergeCell ref="A2:AO2"/>
    <mergeCell ref="A3:AO3"/>
    <mergeCell ref="A4:AO4"/>
    <mergeCell ref="A16:G16"/>
    <mergeCell ref="H16:K16"/>
    <mergeCell ref="N16:T16"/>
    <mergeCell ref="V16:AA16"/>
    <mergeCell ref="AC16:AM17"/>
    <mergeCell ref="V17:AA17"/>
    <mergeCell ref="C17:G17"/>
    <mergeCell ref="A9:AO9"/>
    <mergeCell ref="H50:M50"/>
    <mergeCell ref="AK54:AO54"/>
    <mergeCell ref="A58:Y58"/>
    <mergeCell ref="F55:K55"/>
    <mergeCell ref="M61:W61"/>
    <mergeCell ref="X61:AA61"/>
    <mergeCell ref="J61:L61"/>
    <mergeCell ref="J60:L60"/>
    <mergeCell ref="L55:Q55"/>
    <mergeCell ref="AF54:AJ54"/>
    <mergeCell ref="L54:Q54"/>
    <mergeCell ref="R54:X54"/>
    <mergeCell ref="AB61:AL61"/>
    <mergeCell ref="Y54:AE54"/>
    <mergeCell ref="A64:I64"/>
    <mergeCell ref="J64:L64"/>
    <mergeCell ref="A63:I63"/>
    <mergeCell ref="J63:L63"/>
    <mergeCell ref="A60:I60"/>
    <mergeCell ref="M63:W63"/>
    <mergeCell ref="M64:W64"/>
    <mergeCell ref="AB63:AL63"/>
    <mergeCell ref="N39:T39"/>
    <mergeCell ref="J62:L62"/>
    <mergeCell ref="M62:W62"/>
    <mergeCell ref="A51:G51"/>
    <mergeCell ref="N51:S51"/>
    <mergeCell ref="T51:X51"/>
    <mergeCell ref="A61:I61"/>
    <mergeCell ref="R52:X52"/>
    <mergeCell ref="N50:S50"/>
    <mergeCell ref="Y51:AH53"/>
    <mergeCell ref="AE48:AH48"/>
    <mergeCell ref="R55:X55"/>
    <mergeCell ref="R53:X53"/>
    <mergeCell ref="AI48:AO48"/>
    <mergeCell ref="AC42:AG42"/>
    <mergeCell ref="D53:F53"/>
    <mergeCell ref="AN32:AO32"/>
    <mergeCell ref="AC32:AM32"/>
    <mergeCell ref="AI51:AO53"/>
    <mergeCell ref="AI44:AO44"/>
    <mergeCell ref="T50:X50"/>
    <mergeCell ref="N35:T35"/>
    <mergeCell ref="Q36:T36"/>
    <mergeCell ref="Y46:AD46"/>
    <mergeCell ref="AH27:AK27"/>
    <mergeCell ref="AE49:AH49"/>
    <mergeCell ref="AE44:AH44"/>
    <mergeCell ref="Y49:AD49"/>
    <mergeCell ref="W33:Z33"/>
    <mergeCell ref="N49:X49"/>
    <mergeCell ref="AI49:AO49"/>
    <mergeCell ref="N46:X46"/>
    <mergeCell ref="AC34:AO34"/>
    <mergeCell ref="Y48:AD48"/>
    <mergeCell ref="V27:AA27"/>
    <mergeCell ref="AH29:AK29"/>
    <mergeCell ref="AL30:AM30"/>
    <mergeCell ref="AE46:AH46"/>
    <mergeCell ref="AI46:AO46"/>
    <mergeCell ref="L52:Q52"/>
    <mergeCell ref="AH26:AK26"/>
    <mergeCell ref="W29:Z29"/>
    <mergeCell ref="V26:AA26"/>
    <mergeCell ref="AL28:AM28"/>
    <mergeCell ref="AH28:AK28"/>
    <mergeCell ref="AC30:AG30"/>
    <mergeCell ref="AL29:AM29"/>
    <mergeCell ref="AI45:AO45"/>
    <mergeCell ref="N44:X44"/>
    <mergeCell ref="AN37:AO37"/>
    <mergeCell ref="AE45:AH45"/>
    <mergeCell ref="AH42:AK42"/>
    <mergeCell ref="AC39:AO39"/>
    <mergeCell ref="Y45:AD45"/>
    <mergeCell ref="AN28:AO28"/>
    <mergeCell ref="AL26:AM26"/>
    <mergeCell ref="AN26:AO26"/>
    <mergeCell ref="AL27:AM27"/>
    <mergeCell ref="AH30:AK30"/>
    <mergeCell ref="AN29:AO29"/>
    <mergeCell ref="AN35:AO35"/>
    <mergeCell ref="V31:AA31"/>
    <mergeCell ref="V28:AA28"/>
    <mergeCell ref="AN27:AO27"/>
    <mergeCell ref="AH19:AO19"/>
    <mergeCell ref="AL24:AM24"/>
    <mergeCell ref="AN25:AO25"/>
    <mergeCell ref="AH24:AK24"/>
    <mergeCell ref="AL23:AM23"/>
    <mergeCell ref="AN22:AO22"/>
    <mergeCell ref="AC21:AO21"/>
    <mergeCell ref="AH23:AK23"/>
    <mergeCell ref="AL22:AM22"/>
    <mergeCell ref="AH22:AK22"/>
    <mergeCell ref="AN23:AO23"/>
    <mergeCell ref="AH25:AK25"/>
    <mergeCell ref="AL25:AM25"/>
    <mergeCell ref="AN30:AO30"/>
    <mergeCell ref="A13:AO13"/>
    <mergeCell ref="AI47:AO47"/>
    <mergeCell ref="A54:E54"/>
    <mergeCell ref="Y44:AD44"/>
    <mergeCell ref="AI50:AO50"/>
    <mergeCell ref="Y50:AH50"/>
    <mergeCell ref="F54:K54"/>
    <mergeCell ref="AE47:AH47"/>
    <mergeCell ref="AH35:AK35"/>
    <mergeCell ref="AC36:AG36"/>
    <mergeCell ref="AC37:AG37"/>
    <mergeCell ref="AC41:AG41"/>
    <mergeCell ref="AC40:AG40"/>
    <mergeCell ref="AC35:AG35"/>
    <mergeCell ref="AH37:AK37"/>
    <mergeCell ref="AH40:AK40"/>
    <mergeCell ref="AH41:AK41"/>
    <mergeCell ref="AH36:AK36"/>
    <mergeCell ref="Y47:AD47"/>
    <mergeCell ref="G52:K52"/>
    <mergeCell ref="G53:I53"/>
    <mergeCell ref="A52:C52"/>
    <mergeCell ref="A53:C53"/>
  </mergeCells>
  <phoneticPr fontId="17" type="noConversion"/>
  <conditionalFormatting sqref="AC18 V22">
    <cfRule type="expression" dxfId="109" priority="2" stopIfTrue="1">
      <formula>#REF!=TRUE</formula>
    </cfRule>
  </conditionalFormatting>
  <conditionalFormatting sqref="AH23:AH30 H17:H19 AH36:AH37">
    <cfRule type="expression" dxfId="108" priority="3" stopIfTrue="1">
      <formula>#REF!=TRUE</formula>
    </cfRule>
  </conditionalFormatting>
  <conditionalFormatting sqref="V43:Z43 V35 V33:W33 N42:N43 T42:T43">
    <cfRule type="expression" dxfId="107" priority="4" stopIfTrue="1">
      <formula>#REF!=TRUE</formula>
    </cfRule>
  </conditionalFormatting>
  <conditionalFormatting sqref="H51">
    <cfRule type="expression" dxfId="106" priority="5" stopIfTrue="1">
      <formula>#REF!=TRUE</formula>
    </cfRule>
  </conditionalFormatting>
  <conditionalFormatting sqref="W24:Z24">
    <cfRule type="expression" dxfId="105" priority="6" stopIfTrue="1">
      <formula>ISTEXT(#REF!)</formula>
    </cfRule>
  </conditionalFormatting>
  <conditionalFormatting sqref="V25">
    <cfRule type="expression" dxfId="104" priority="7" stopIfTrue="1">
      <formula>#REF!=TRUE</formula>
    </cfRule>
  </conditionalFormatting>
  <conditionalFormatting sqref="AH41:AH42">
    <cfRule type="expression" dxfId="103" priority="1" stopIfTrue="1">
      <formula>#REF!=TRUE</formula>
    </cfRule>
  </conditionalFormatting>
  <dataValidations xWindow="322" yWindow="156" count="26">
    <dataValidation type="list" allowBlank="1" showInputMessage="1" showErrorMessage="1" sqref="AF55:AO55 F55:X55 B32:K32 AN32:AO32 AN17:AO17">
      <formula1>Yes_No</formula1>
    </dataValidation>
    <dataValidation type="list" allowBlank="1" showInputMessage="1" showErrorMessage="1" sqref="H51:M51">
      <formula1>Occupancy</formula1>
    </dataValidation>
    <dataValidation type="list" allowBlank="1" showInputMessage="1" showErrorMessage="1" sqref="A51:G51">
      <formula1>Development__Type</formula1>
    </dataValidation>
    <dataValidation type="list" allowBlank="1" showInputMessage="1" showErrorMessage="1" sqref="N51:S51">
      <formula1>TCAC_Type_Housing</formula1>
    </dataValidation>
    <dataValidation type="list" allowBlank="1" showInputMessage="1" showErrorMessage="1" sqref="T51:X51">
      <formula1>Tenure_Type</formula1>
    </dataValidation>
    <dataValidation type="list" allowBlank="1" showInputMessage="1" showErrorMessage="1" sqref="R53:X53">
      <formula1>Multiple_Parcels?</formula1>
    </dataValidation>
    <dataValidation type="list" allowBlank="1" showInputMessage="1" showErrorMessage="1" sqref="A55:E55">
      <formula1>Relocation_Req_d?</formula1>
    </dataValidation>
    <dataValidation type="list" allowBlank="1" showInputMessage="1" showErrorMessage="1" sqref="W20:Z20">
      <formula1>Pool</formula1>
    </dataValidation>
    <dataValidation type="list" allowBlank="1" showInputMessage="1" showErrorMessage="1" sqref="M31:M33 U31:U33 L26 L30 U28 M28">
      <formula1>#REF!</formula1>
    </dataValidation>
    <dataValidation type="date" operator="greaterThan" allowBlank="1" showInputMessage="1" showErrorMessage="1" errorTitle="Need Application Date" error="Your entry must be a date after January 1, 2006." promptTitle="Date of Application or Update" prompt="Enter the date of this application or application update." sqref="K12:Q12">
      <formula1>38718</formula1>
    </dataValidation>
    <dataValidation type="list" allowBlank="1" showInputMessage="1" showErrorMessage="1" sqref="B34:K34">
      <formula1>TCAC_Geographical_Area</formula1>
    </dataValidation>
    <dataValidation type="date" operator="greaterThan" allowBlank="1" showInputMessage="1" showErrorMessage="1" errorTitle="Need Application Date" error="Your entry must be a date after January 1, 2006." sqref="K11:Q11">
      <formula1>38718</formula1>
    </dataValidation>
    <dataValidation type="list" allowBlank="1" showInputMessage="1" showErrorMessage="1" sqref="AH19:AO19">
      <formula1>CalHFA_Application_Type</formula1>
    </dataValidation>
    <dataValidation type="list" allowBlank="1" showInputMessage="1" showErrorMessage="1" sqref="B22:K22">
      <formula1>TCAC_Application_Type</formula1>
    </dataValidation>
    <dataValidation type="list" allowBlank="1" showInputMessage="1" showErrorMessage="1" sqref="B26:K26">
      <formula1>State_Set_Aside</formula1>
    </dataValidation>
    <dataValidation type="list" allowBlank="1" showInputMessage="1" showErrorMessage="1" sqref="B28:K28">
      <formula1>Fed_Min_Set</formula1>
    </dataValidation>
    <dataValidation type="list" allowBlank="1" showInputMessage="1" showErrorMessage="1" sqref="B30:K30">
      <formula1>TCAC_Housing_Type</formula1>
    </dataValidation>
    <dataValidation type="list" allowBlank="1" showInputMessage="1" showErrorMessage="1" sqref="N24:T24 N38:T38 N34:T34 N29:T29">
      <formula1>HCD_Funding</formula1>
    </dataValidation>
    <dataValidation type="list" allowBlank="1" showInputMessage="1" showErrorMessage="1" sqref="Z58:AO58">
      <formula1>Applicant_Role</formula1>
    </dataValidation>
    <dataValidation type="list" allowBlank="1" showInputMessage="1" showErrorMessage="1" sqref="K61:L64 J62:J64">
      <formula1>CongressionalDistrictCode</formula1>
    </dataValidation>
    <dataValidation type="list" allowBlank="1" showInputMessage="1" showErrorMessage="1" sqref="Y61:AA64 X62:X64">
      <formula1>SenateDistrictCode</formula1>
    </dataValidation>
    <dataValidation type="list" allowBlank="1" showInputMessage="1" showErrorMessage="1" sqref="AN61:AO64 AM62:AM64">
      <formula1>AssemblyDistrictCode</formula1>
    </dataValidation>
    <dataValidation type="list" allowBlank="1" showInputMessage="1" showErrorMessage="1" sqref="J61">
      <formula1>SD_Dropdown_86_Name</formula1>
    </dataValidation>
    <dataValidation type="list" allowBlank="1" showInputMessage="1" showErrorMessage="1" sqref="X61">
      <formula1>SD_Dropdown_148_Name</formula1>
    </dataValidation>
    <dataValidation type="list" allowBlank="1" showInputMessage="1" showErrorMessage="1" sqref="AM61">
      <formula1>SD_Dropdown_7_Name</formula1>
    </dataValidation>
    <dataValidation type="list" allowBlank="1" showInputMessage="1" showErrorMessage="1" sqref="AI45:AO49">
      <formula1>County</formula1>
    </dataValidation>
  </dataValidations>
  <printOptions horizontalCentered="1"/>
  <pageMargins left="0.5" right="0" top="0.5" bottom="0.3" header="0" footer="0"/>
  <pageSetup scale="80" firstPageNumber="2" orientation="portrait" r:id="rId1"/>
  <headerFooter scaleWithDoc="0" alignWithMargins="0">
    <oddFooter>&amp;C&amp;9Page &amp;P of &amp;N&amp;R&amp;"Arial,Italic"&amp;9Universal Application - &amp;A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85" r:id="rId4" name="Check Box 65">
              <controlPr defaultSize="0" autoFill="0" autoLine="0" autoPict="0">
                <anchor moveWithCells="1">
                  <from>
                    <xdr:col>0</xdr:col>
                    <xdr:colOff>190500</xdr:colOff>
                    <xdr:row>17</xdr:row>
                    <xdr:rowOff>142875</xdr:rowOff>
                  </from>
                  <to>
                    <xdr:col>2</xdr:col>
                    <xdr:colOff>104775</xdr:colOff>
                    <xdr:row>19</xdr:row>
                    <xdr:rowOff>28575</xdr:rowOff>
                  </to>
                </anchor>
              </controlPr>
            </control>
          </mc:Choice>
        </mc:AlternateContent>
        <mc:AlternateContent xmlns:mc="http://schemas.openxmlformats.org/markup-compatibility/2006">
          <mc:Choice Requires="x14">
            <control shapeId="30787" r:id="rId5" name="Check Box 67">
              <controlPr defaultSize="0" autoFill="0" autoLine="0" autoPict="0">
                <anchor moveWithCells="1">
                  <from>
                    <xdr:col>0</xdr:col>
                    <xdr:colOff>190500</xdr:colOff>
                    <xdr:row>15</xdr:row>
                    <xdr:rowOff>133350</xdr:rowOff>
                  </from>
                  <to>
                    <xdr:col>2</xdr:col>
                    <xdr:colOff>95250</xdr:colOff>
                    <xdr:row>17</xdr:row>
                    <xdr:rowOff>38100</xdr:rowOff>
                  </to>
                </anchor>
              </controlPr>
            </control>
          </mc:Choice>
        </mc:AlternateContent>
        <mc:AlternateContent xmlns:mc="http://schemas.openxmlformats.org/markup-compatibility/2006">
          <mc:Choice Requires="x14">
            <control shapeId="30788" r:id="rId6" name="Check Box 68">
              <controlPr defaultSize="0" autoFill="0" autoLine="0" autoPict="0">
                <anchor moveWithCells="1">
                  <from>
                    <xdr:col>0</xdr:col>
                    <xdr:colOff>190500</xdr:colOff>
                    <xdr:row>16</xdr:row>
                    <xdr:rowOff>152400</xdr:rowOff>
                  </from>
                  <to>
                    <xdr:col>2</xdr:col>
                    <xdr:colOff>95250</xdr:colOff>
                    <xdr:row>18</xdr:row>
                    <xdr:rowOff>28575</xdr:rowOff>
                  </to>
                </anchor>
              </controlPr>
            </control>
          </mc:Choice>
        </mc:AlternateContent>
        <mc:AlternateContent xmlns:mc="http://schemas.openxmlformats.org/markup-compatibility/2006">
          <mc:Choice Requires="x14">
            <control shapeId="30849" r:id="rId7" name="Check Box 129">
              <controlPr defaultSize="0" autoFill="0" autoLine="0" autoPict="0">
                <anchor moveWithCells="1">
                  <from>
                    <xdr:col>4</xdr:col>
                    <xdr:colOff>66675</xdr:colOff>
                    <xdr:row>13</xdr:row>
                    <xdr:rowOff>228600</xdr:rowOff>
                  </from>
                  <to>
                    <xdr:col>5</xdr:col>
                    <xdr:colOff>66675</xdr:colOff>
                    <xdr:row>15</xdr:row>
                    <xdr:rowOff>0</xdr:rowOff>
                  </to>
                </anchor>
              </controlPr>
            </control>
          </mc:Choice>
        </mc:AlternateContent>
        <mc:AlternateContent xmlns:mc="http://schemas.openxmlformats.org/markup-compatibility/2006">
          <mc:Choice Requires="x14">
            <control shapeId="30850" r:id="rId8" name="Check Box 130">
              <controlPr locked="0" defaultSize="0" autoFill="0" autoLine="0" autoPict="0">
                <anchor moveWithCells="1">
                  <from>
                    <xdr:col>14</xdr:col>
                    <xdr:colOff>190500</xdr:colOff>
                    <xdr:row>13</xdr:row>
                    <xdr:rowOff>228600</xdr:rowOff>
                  </from>
                  <to>
                    <xdr:col>16</xdr:col>
                    <xdr:colOff>104775</xdr:colOff>
                    <xdr:row>15</xdr:row>
                    <xdr:rowOff>0</xdr:rowOff>
                  </to>
                </anchor>
              </controlPr>
            </control>
          </mc:Choice>
        </mc:AlternateContent>
        <mc:AlternateContent xmlns:mc="http://schemas.openxmlformats.org/markup-compatibility/2006">
          <mc:Choice Requires="x14">
            <control shapeId="30851" r:id="rId9" name="Check Box 131">
              <controlPr defaultSize="0" autoFill="0" autoLine="0" autoPict="0">
                <anchor moveWithCells="1">
                  <from>
                    <xdr:col>21</xdr:col>
                    <xdr:colOff>190500</xdr:colOff>
                    <xdr:row>13</xdr:row>
                    <xdr:rowOff>228600</xdr:rowOff>
                  </from>
                  <to>
                    <xdr:col>23</xdr:col>
                    <xdr:colOff>104775</xdr:colOff>
                    <xdr:row>15</xdr:row>
                    <xdr:rowOff>0</xdr:rowOff>
                  </to>
                </anchor>
              </controlPr>
            </control>
          </mc:Choice>
        </mc:AlternateContent>
        <mc:AlternateContent xmlns:mc="http://schemas.openxmlformats.org/markup-compatibility/2006">
          <mc:Choice Requires="x14">
            <control shapeId="30853" r:id="rId10" name="Check Box 133">
              <controlPr defaultSize="0" autoFill="0" autoLine="0" autoPict="0">
                <anchor moveWithCells="1">
                  <from>
                    <xdr:col>32</xdr:col>
                    <xdr:colOff>0</xdr:colOff>
                    <xdr:row>13</xdr:row>
                    <xdr:rowOff>219075</xdr:rowOff>
                  </from>
                  <to>
                    <xdr:col>33</xdr:col>
                    <xdr:colOff>104775</xdr:colOff>
                    <xdr:row>15</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N27"/>
  <sheetViews>
    <sheetView showGridLines="0" zoomScaleNormal="100" zoomScaleSheetLayoutView="100" workbookViewId="0">
      <selection activeCell="A2" sqref="A2"/>
    </sheetView>
  </sheetViews>
  <sheetFormatPr defaultColWidth="2.28515625" defaultRowHeight="12.75"/>
  <cols>
    <col min="1" max="1" width="100.7109375" customWidth="1"/>
    <col min="2" max="2" width="9.140625" customWidth="1"/>
    <col min="3" max="3" width="23.28515625" customWidth="1"/>
    <col min="4" max="248" width="9.140625" customWidth="1"/>
  </cols>
  <sheetData>
    <row r="1" spans="1:14" s="509" customFormat="1" ht="15.75">
      <c r="A1" s="509">
        <f>+'General '!A45</f>
        <v>0</v>
      </c>
    </row>
    <row r="2" spans="1:14" ht="29.25" customHeight="1">
      <c r="A2" s="907" t="s">
        <v>1366</v>
      </c>
    </row>
    <row r="3" spans="1:14">
      <c r="A3" s="589" t="s">
        <v>466</v>
      </c>
      <c r="B3" s="56"/>
    </row>
    <row r="4" spans="1:14" ht="50.25" customHeight="1">
      <c r="A4" s="906"/>
      <c r="C4" s="1554"/>
      <c r="D4" s="1554"/>
      <c r="E4" s="1554"/>
      <c r="F4" s="1554"/>
      <c r="G4" s="1554"/>
      <c r="H4" s="1554"/>
      <c r="I4" s="1554"/>
      <c r="J4" s="1554"/>
      <c r="K4" s="1554"/>
      <c r="L4" s="1554"/>
      <c r="M4" s="1554"/>
      <c r="N4" s="1554"/>
    </row>
    <row r="5" spans="1:14">
      <c r="A5" s="589" t="s">
        <v>501</v>
      </c>
      <c r="B5" s="56"/>
    </row>
    <row r="6" spans="1:14" ht="50.25" customHeight="1">
      <c r="A6" s="906"/>
    </row>
    <row r="7" spans="1:14">
      <c r="A7" s="589" t="s">
        <v>502</v>
      </c>
      <c r="B7" s="56"/>
    </row>
    <row r="8" spans="1:14" ht="50.25" customHeight="1">
      <c r="A8" s="906"/>
    </row>
    <row r="9" spans="1:14" ht="12.75" customHeight="1">
      <c r="A9" s="589" t="s">
        <v>465</v>
      </c>
      <c r="B9" s="56"/>
    </row>
    <row r="10" spans="1:14" ht="50.25" customHeight="1">
      <c r="A10" s="906"/>
    </row>
    <row r="11" spans="1:14">
      <c r="A11" s="589" t="s">
        <v>467</v>
      </c>
      <c r="B11" s="56"/>
    </row>
    <row r="12" spans="1:14" ht="50.25" customHeight="1">
      <c r="A12" s="906"/>
    </row>
    <row r="13" spans="1:14">
      <c r="A13" s="589" t="s">
        <v>503</v>
      </c>
      <c r="B13" s="56"/>
    </row>
    <row r="14" spans="1:14" ht="50.25" customHeight="1">
      <c r="A14" s="906"/>
    </row>
    <row r="15" spans="1:14">
      <c r="A15" s="589" t="s">
        <v>504</v>
      </c>
      <c r="B15" s="56"/>
    </row>
    <row r="16" spans="1:14" ht="50.25" customHeight="1">
      <c r="A16" s="906"/>
    </row>
    <row r="17" spans="1:2">
      <c r="A17" s="589" t="s">
        <v>505</v>
      </c>
      <c r="B17" s="56"/>
    </row>
    <row r="18" spans="1:2" ht="50.25" customHeight="1">
      <c r="A18" s="906"/>
    </row>
    <row r="19" spans="1:2">
      <c r="A19" s="589" t="s">
        <v>506</v>
      </c>
      <c r="B19" s="56"/>
    </row>
    <row r="20" spans="1:2" ht="50.25" customHeight="1">
      <c r="A20" s="906"/>
    </row>
    <row r="21" spans="1:2">
      <c r="A21" s="589" t="s">
        <v>507</v>
      </c>
      <c r="B21" s="56"/>
    </row>
    <row r="22" spans="1:2" ht="50.25" customHeight="1">
      <c r="A22" s="906"/>
    </row>
    <row r="23" spans="1:2">
      <c r="A23" s="589" t="s">
        <v>508</v>
      </c>
      <c r="B23" s="56"/>
    </row>
    <row r="24" spans="1:2" ht="50.25" customHeight="1">
      <c r="A24" s="906"/>
    </row>
    <row r="25" spans="1:2">
      <c r="A25" s="589" t="s">
        <v>509</v>
      </c>
      <c r="B25" s="56"/>
    </row>
    <row r="26" spans="1:2" ht="50.25" customHeight="1">
      <c r="A26" s="906"/>
    </row>
    <row r="27" spans="1:2">
      <c r="A27" s="570" t="str">
        <f>'General '!AI11</f>
        <v>UA Version 5/8/19</v>
      </c>
    </row>
  </sheetData>
  <sheetProtection password="C9E9" sheet="1" objects="1" scenarios="1" formatRows="0"/>
  <mergeCells count="1">
    <mergeCell ref="C4:N4"/>
  </mergeCells>
  <phoneticPr fontId="17" type="noConversion"/>
  <printOptions horizontalCentered="1"/>
  <pageMargins left="0.5" right="0" top="0.5" bottom="0.3" header="0" footer="0"/>
  <pageSetup scale="91" firstPageNumber="3" orientation="portrait" horizontalDpi="525" verticalDpi="525" r:id="rId1"/>
  <headerFooter scaleWithDoc="0" alignWithMargins="0">
    <oddFooter>&amp;C&amp;9Page &amp;P of &amp;N&amp;R&amp;"Arial,Italic"&amp;9Universal Application - &amp;A</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BR177"/>
  <sheetViews>
    <sheetView showGridLines="0" zoomScaleNormal="100" workbookViewId="0">
      <selection activeCell="A2" sqref="A2:AO2"/>
    </sheetView>
  </sheetViews>
  <sheetFormatPr defaultRowHeight="12.75"/>
  <cols>
    <col min="1" max="1" width="3.42578125" customWidth="1"/>
    <col min="2" max="4" width="3" customWidth="1"/>
    <col min="5" max="5" width="4.7109375" customWidth="1"/>
    <col min="6" max="6" width="2.85546875" customWidth="1"/>
    <col min="7" max="7" width="2.28515625" customWidth="1"/>
    <col min="8" max="8" width="3.140625" customWidth="1"/>
    <col min="9" max="9" width="3.42578125" customWidth="1"/>
    <col min="10" max="12" width="3" customWidth="1"/>
    <col min="13" max="13" width="2.140625" customWidth="1"/>
    <col min="14" max="18" width="3" customWidth="1"/>
    <col min="19" max="19" width="3.5703125" customWidth="1"/>
    <col min="20" max="20" width="3" customWidth="1"/>
    <col min="21" max="21" width="2" customWidth="1"/>
    <col min="22" max="26" width="3" customWidth="1"/>
    <col min="27" max="27" width="3.42578125" customWidth="1"/>
    <col min="28" max="28" width="1.7109375" customWidth="1"/>
    <col min="29" max="40" width="3" customWidth="1"/>
    <col min="41" max="41" width="4.140625" customWidth="1"/>
    <col min="42" max="42" width="3" customWidth="1"/>
    <col min="43" max="43" width="13.28515625" customWidth="1"/>
    <col min="44" max="44" width="4.140625" customWidth="1"/>
    <col min="46" max="46" width="17.28515625" customWidth="1"/>
    <col min="47" max="47" width="22.85546875" customWidth="1"/>
  </cols>
  <sheetData>
    <row r="1" spans="1:69" s="16" customFormat="1" ht="15.75">
      <c r="A1" s="1560">
        <f>'General '!A45</f>
        <v>0</v>
      </c>
      <c r="B1" s="1561"/>
      <c r="C1" s="1561"/>
      <c r="D1" s="1561"/>
      <c r="E1" s="1561"/>
      <c r="F1" s="1561"/>
      <c r="G1" s="1561"/>
      <c r="H1" s="1561"/>
      <c r="I1" s="1561"/>
      <c r="J1" s="1561"/>
      <c r="K1" s="1561"/>
      <c r="L1" s="1561"/>
      <c r="M1" s="1561"/>
      <c r="N1" s="1561"/>
      <c r="O1" s="1561"/>
      <c r="P1" s="1561"/>
      <c r="Q1" s="1561"/>
      <c r="R1" s="1561"/>
      <c r="S1" s="1561"/>
      <c r="T1" s="1561"/>
      <c r="U1" s="1561"/>
      <c r="V1" s="1561"/>
      <c r="W1" s="1561"/>
      <c r="X1" s="1561"/>
      <c r="Y1" s="1561"/>
      <c r="Z1" s="1561"/>
      <c r="AA1" s="1561"/>
      <c r="AB1" s="1561"/>
      <c r="AC1" s="1561"/>
      <c r="AD1" s="1561"/>
      <c r="AE1" s="1561"/>
      <c r="AF1" s="1561"/>
      <c r="AG1" s="1561"/>
      <c r="AH1" s="1561"/>
      <c r="AI1" s="1561"/>
      <c r="AJ1" s="1561"/>
      <c r="AK1" s="1561"/>
      <c r="AL1" s="1561"/>
      <c r="AM1" s="1561"/>
      <c r="AN1" s="1561"/>
      <c r="AO1" s="1562"/>
      <c r="AP1" s="73"/>
      <c r="AQ1" s="73"/>
      <c r="AR1" s="73"/>
    </row>
    <row r="2" spans="1:69" s="16" customFormat="1" ht="18" customHeight="1" thickBot="1">
      <c r="A2" s="1485" t="s">
        <v>37</v>
      </c>
      <c r="B2" s="1486"/>
      <c r="C2" s="1486"/>
      <c r="D2" s="1486"/>
      <c r="E2" s="1486"/>
      <c r="F2" s="1486"/>
      <c r="G2" s="1486"/>
      <c r="H2" s="1486"/>
      <c r="I2" s="1486"/>
      <c r="J2" s="1486"/>
      <c r="K2" s="1486"/>
      <c r="L2" s="1486"/>
      <c r="M2" s="1486"/>
      <c r="N2" s="1486"/>
      <c r="O2" s="1486"/>
      <c r="P2" s="1486"/>
      <c r="Q2" s="1486"/>
      <c r="R2" s="1486"/>
      <c r="S2" s="1486"/>
      <c r="T2" s="1486"/>
      <c r="U2" s="1486"/>
      <c r="V2" s="1486"/>
      <c r="W2" s="1486"/>
      <c r="X2" s="1486"/>
      <c r="Y2" s="1486"/>
      <c r="Z2" s="1486"/>
      <c r="AA2" s="1486"/>
      <c r="AB2" s="1486"/>
      <c r="AC2" s="1486"/>
      <c r="AD2" s="1486"/>
      <c r="AE2" s="1486"/>
      <c r="AF2" s="1486"/>
      <c r="AG2" s="1486"/>
      <c r="AH2" s="1486"/>
      <c r="AI2" s="1486"/>
      <c r="AJ2" s="1486"/>
      <c r="AK2" s="1486"/>
      <c r="AL2" s="1486"/>
      <c r="AM2" s="1486"/>
      <c r="AN2" s="1486"/>
      <c r="AO2" s="1487"/>
    </row>
    <row r="3" spans="1:69" ht="15.75" customHeight="1" thickBot="1">
      <c r="A3" s="101" t="s">
        <v>894</v>
      </c>
      <c r="B3" s="145"/>
      <c r="C3" s="145"/>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145"/>
      <c r="AF3" s="1589"/>
      <c r="AG3" s="1589"/>
      <c r="AH3" s="1589"/>
      <c r="AI3" s="1589"/>
      <c r="AJ3" s="1589"/>
      <c r="AK3" s="1589"/>
      <c r="AL3" s="1589"/>
      <c r="AM3" s="1589"/>
      <c r="AN3" s="1589"/>
      <c r="AO3" s="1590"/>
      <c r="AQ3" s="518"/>
      <c r="AT3" s="518"/>
      <c r="AV3" s="518"/>
    </row>
    <row r="4" spans="1:69" ht="15.75" customHeight="1">
      <c r="A4" s="1608" t="s">
        <v>463</v>
      </c>
      <c r="B4" s="1609"/>
      <c r="C4" s="1609"/>
      <c r="D4" s="1609"/>
      <c r="E4" s="1609"/>
      <c r="F4" s="1609"/>
      <c r="G4" s="1609"/>
      <c r="H4" s="1612"/>
      <c r="I4" s="1612"/>
      <c r="J4" s="1612"/>
      <c r="K4" s="1612"/>
      <c r="L4" s="1612"/>
      <c r="M4" s="1612"/>
      <c r="N4" s="1612"/>
      <c r="O4" s="1612"/>
      <c r="P4" s="1612"/>
      <c r="Q4" s="1612"/>
      <c r="R4" s="1612"/>
      <c r="S4" s="1612"/>
      <c r="T4" s="1612"/>
      <c r="U4" s="1612"/>
      <c r="V4" s="1612"/>
      <c r="W4" s="1612"/>
      <c r="X4" s="1612"/>
      <c r="Y4" s="1612"/>
      <c r="Z4" s="1612"/>
      <c r="AA4" s="1612"/>
      <c r="AB4" s="1612"/>
      <c r="AC4" s="1612"/>
      <c r="AD4" s="1612"/>
      <c r="AE4" s="1612"/>
      <c r="AF4" s="1612"/>
      <c r="AG4" s="1612"/>
      <c r="AH4" s="1612"/>
      <c r="AI4" s="1612"/>
      <c r="AJ4" s="1612"/>
      <c r="AK4" s="1612"/>
      <c r="AL4" s="1612"/>
      <c r="AM4" s="1612"/>
      <c r="AN4" s="1612"/>
      <c r="AO4" s="1613"/>
      <c r="AQ4" s="518"/>
      <c r="AT4" s="518"/>
      <c r="AV4" s="518"/>
    </row>
    <row r="5" spans="1:69" ht="15.75" customHeight="1">
      <c r="A5" s="1610"/>
      <c r="B5" s="1611"/>
      <c r="C5" s="1611"/>
      <c r="D5" s="1611"/>
      <c r="E5" s="1611"/>
      <c r="F5" s="1611"/>
      <c r="G5" s="1611"/>
      <c r="H5" s="1614"/>
      <c r="I5" s="1614"/>
      <c r="J5" s="1614"/>
      <c r="K5" s="1614"/>
      <c r="L5" s="1614"/>
      <c r="M5" s="1614"/>
      <c r="N5" s="1614"/>
      <c r="O5" s="1614"/>
      <c r="P5" s="1614"/>
      <c r="Q5" s="1614"/>
      <c r="R5" s="1614"/>
      <c r="S5" s="1614"/>
      <c r="T5" s="1614"/>
      <c r="U5" s="1614"/>
      <c r="V5" s="1614"/>
      <c r="W5" s="1614"/>
      <c r="X5" s="1614"/>
      <c r="Y5" s="1614"/>
      <c r="Z5" s="1614"/>
      <c r="AA5" s="1614"/>
      <c r="AB5" s="1614"/>
      <c r="AC5" s="1614"/>
      <c r="AD5" s="1614"/>
      <c r="AE5" s="1614"/>
      <c r="AF5" s="1614"/>
      <c r="AG5" s="1614"/>
      <c r="AH5" s="1614"/>
      <c r="AI5" s="1614"/>
      <c r="AJ5" s="1614"/>
      <c r="AK5" s="1614"/>
      <c r="AL5" s="1614"/>
      <c r="AM5" s="1614"/>
      <c r="AN5" s="1614"/>
      <c r="AO5" s="1615"/>
      <c r="AQ5" s="518"/>
      <c r="AT5" s="518"/>
      <c r="AV5" s="518"/>
    </row>
    <row r="6" spans="1:69">
      <c r="A6" s="1591" t="s">
        <v>630</v>
      </c>
      <c r="B6" s="1592"/>
      <c r="C6" s="1592"/>
      <c r="D6" s="1592"/>
      <c r="E6" s="1592"/>
      <c r="F6" s="1592"/>
      <c r="G6" s="1592"/>
      <c r="H6" s="1592"/>
      <c r="I6" s="1592"/>
      <c r="J6" s="1593"/>
      <c r="K6" s="1594" t="s">
        <v>631</v>
      </c>
      <c r="L6" s="1592"/>
      <c r="M6" s="1592"/>
      <c r="N6" s="1593"/>
      <c r="O6" s="1594" t="s">
        <v>632</v>
      </c>
      <c r="P6" s="1592"/>
      <c r="Q6" s="1592"/>
      <c r="R6" s="1592"/>
      <c r="S6" s="1593"/>
      <c r="T6" s="1594" t="s">
        <v>633</v>
      </c>
      <c r="U6" s="1592"/>
      <c r="V6" s="1592"/>
      <c r="W6" s="1592"/>
      <c r="X6" s="1592"/>
      <c r="Y6" s="1592"/>
      <c r="Z6" s="1592"/>
      <c r="AA6" s="1592"/>
      <c r="AB6" s="1592"/>
      <c r="AC6" s="1593"/>
      <c r="AD6" s="1595" t="s">
        <v>634</v>
      </c>
      <c r="AE6" s="1595"/>
      <c r="AF6" s="1595"/>
      <c r="AG6" s="1595"/>
      <c r="AH6" s="1595"/>
      <c r="AI6" s="1595"/>
      <c r="AJ6" s="1595"/>
      <c r="AK6" s="1596" t="s">
        <v>635</v>
      </c>
      <c r="AL6" s="1596"/>
      <c r="AM6" s="1596"/>
      <c r="AN6" s="1596"/>
      <c r="AO6" s="1597"/>
    </row>
    <row r="7" spans="1:69">
      <c r="A7" s="1575"/>
      <c r="B7" s="1576"/>
      <c r="C7" s="1576"/>
      <c r="D7" s="1576"/>
      <c r="E7" s="1576"/>
      <c r="F7" s="1576"/>
      <c r="G7" s="1576"/>
      <c r="H7" s="1576"/>
      <c r="I7" s="1576"/>
      <c r="J7" s="1577"/>
      <c r="K7" s="1578"/>
      <c r="L7" s="1579"/>
      <c r="M7" s="1579"/>
      <c r="N7" s="1580"/>
      <c r="O7" s="1581"/>
      <c r="P7" s="1581"/>
      <c r="Q7" s="1581"/>
      <c r="R7" s="1581"/>
      <c r="S7" s="1582"/>
      <c r="T7" s="1583"/>
      <c r="U7" s="1584"/>
      <c r="V7" s="1584"/>
      <c r="W7" s="1584"/>
      <c r="X7" s="1584"/>
      <c r="Y7" s="1584"/>
      <c r="Z7" s="1584"/>
      <c r="AA7" s="1584"/>
      <c r="AB7" s="1584"/>
      <c r="AC7" s="1585"/>
      <c r="AD7" s="1586"/>
      <c r="AE7" s="1587"/>
      <c r="AF7" s="1587"/>
      <c r="AG7" s="1587"/>
      <c r="AH7" s="1587"/>
      <c r="AI7" s="1587"/>
      <c r="AJ7" s="1588"/>
      <c r="AK7" s="1616"/>
      <c r="AL7" s="1616"/>
      <c r="AM7" s="1616"/>
      <c r="AN7" s="23" t="s">
        <v>636</v>
      </c>
      <c r="AO7" s="146"/>
    </row>
    <row r="8" spans="1:69">
      <c r="A8" s="1537" t="s">
        <v>885</v>
      </c>
      <c r="B8" s="1469"/>
      <c r="C8" s="1469"/>
      <c r="D8" s="1469"/>
      <c r="E8" s="1469"/>
      <c r="F8" s="1469"/>
      <c r="G8" s="1469"/>
      <c r="H8" s="1469"/>
      <c r="I8" s="1469"/>
      <c r="J8" s="1469"/>
      <c r="K8" s="1469"/>
      <c r="L8" s="1469"/>
      <c r="M8" s="1469"/>
      <c r="N8" s="1574"/>
      <c r="O8" s="1617" t="s">
        <v>75</v>
      </c>
      <c r="P8" s="1469"/>
      <c r="Q8" s="1469"/>
      <c r="R8" s="1469"/>
      <c r="S8" s="1469"/>
      <c r="T8" s="1469"/>
      <c r="U8" s="1469"/>
      <c r="V8" s="1469"/>
      <c r="W8" s="1469"/>
      <c r="X8" s="1469"/>
      <c r="Y8" s="1469"/>
      <c r="Z8" s="1469"/>
      <c r="AA8" s="1469"/>
      <c r="AB8" s="1469"/>
      <c r="AC8" s="1469"/>
      <c r="AD8" s="1469"/>
      <c r="AE8" s="1469"/>
      <c r="AF8" s="1538"/>
      <c r="AG8" s="1538"/>
      <c r="AH8" s="1538"/>
      <c r="AI8" s="1538"/>
      <c r="AJ8" s="1538"/>
      <c r="AK8" s="1538"/>
      <c r="AL8" s="1538"/>
      <c r="AM8" s="1538"/>
      <c r="AN8" s="1538"/>
      <c r="AO8" s="1539"/>
    </row>
    <row r="9" spans="1:69" ht="13.5" thickBot="1">
      <c r="A9" s="1628"/>
      <c r="B9" s="1629"/>
      <c r="C9" s="1629"/>
      <c r="D9" s="1629"/>
      <c r="E9" s="1629"/>
      <c r="F9" s="1629"/>
      <c r="G9" s="1629"/>
      <c r="H9" s="1629"/>
      <c r="I9" s="1629"/>
      <c r="J9" s="1629"/>
      <c r="K9" s="1629"/>
      <c r="L9" s="1629"/>
      <c r="M9" s="1629"/>
      <c r="N9" s="1630"/>
      <c r="O9" s="1638"/>
      <c r="P9" s="1639"/>
      <c r="Q9" s="1639"/>
      <c r="R9" s="1639"/>
      <c r="S9" s="1639"/>
      <c r="T9" s="1639"/>
      <c r="U9" s="1639"/>
      <c r="V9" s="1639"/>
      <c r="W9" s="1639"/>
      <c r="X9" s="1639"/>
      <c r="Y9" s="1639"/>
      <c r="Z9" s="1639"/>
      <c r="AA9" s="1639"/>
      <c r="AB9" s="1639"/>
      <c r="AC9" s="1639"/>
      <c r="AD9" s="1639"/>
      <c r="AE9" s="1639"/>
      <c r="AF9" s="1640"/>
      <c r="AG9" s="1640"/>
      <c r="AH9" s="1640"/>
      <c r="AI9" s="1640"/>
      <c r="AJ9" s="1640"/>
      <c r="AK9" s="1640"/>
      <c r="AL9" s="1640"/>
      <c r="AM9" s="1640"/>
      <c r="AN9" s="1640"/>
      <c r="AO9" s="1641"/>
    </row>
    <row r="10" spans="1:69" ht="15.75">
      <c r="A10" s="101" t="s">
        <v>887</v>
      </c>
      <c r="B10" s="132"/>
      <c r="C10" s="132"/>
      <c r="D10" s="132"/>
      <c r="E10" s="132"/>
      <c r="F10" s="132"/>
      <c r="G10" s="132"/>
      <c r="H10" s="132"/>
      <c r="I10" s="132"/>
      <c r="J10" s="132"/>
      <c r="K10" s="132"/>
      <c r="L10" s="132"/>
      <c r="M10" s="132"/>
      <c r="N10" s="132"/>
      <c r="O10" s="132"/>
      <c r="P10" s="132"/>
      <c r="Q10" s="132"/>
      <c r="R10" s="132"/>
      <c r="S10" s="132"/>
      <c r="T10" s="132"/>
      <c r="U10" s="132"/>
      <c r="V10" s="132"/>
      <c r="W10" s="132"/>
      <c r="X10" s="132"/>
      <c r="Y10" s="132"/>
      <c r="Z10" s="132"/>
      <c r="AA10" s="132"/>
      <c r="AB10" s="132"/>
      <c r="AC10" s="132"/>
      <c r="AD10" s="132"/>
      <c r="AE10" s="132"/>
      <c r="AF10" s="132"/>
      <c r="AG10" s="132"/>
      <c r="AH10" s="132"/>
      <c r="AI10" s="132"/>
      <c r="AJ10" s="132"/>
      <c r="AK10" s="132"/>
      <c r="AL10" s="132"/>
      <c r="AM10" s="132"/>
      <c r="AN10" s="132"/>
      <c r="AO10" s="133"/>
    </row>
    <row r="11" spans="1:69">
      <c r="A11" s="1650" t="s">
        <v>637</v>
      </c>
      <c r="B11" s="1651"/>
      <c r="C11" s="1651"/>
      <c r="D11" s="1651"/>
      <c r="E11" s="1651"/>
      <c r="F11" s="1651"/>
      <c r="G11" s="1651"/>
      <c r="H11" s="1651"/>
      <c r="I11" s="1651"/>
      <c r="J11" s="1651"/>
      <c r="K11" s="1654" t="s">
        <v>74</v>
      </c>
      <c r="L11" s="1422"/>
      <c r="M11" s="1422"/>
      <c r="N11" s="1422"/>
      <c r="O11" s="1422"/>
      <c r="P11" s="1422"/>
      <c r="Q11" s="1422"/>
      <c r="R11" s="1422"/>
      <c r="S11" s="1422"/>
      <c r="T11" s="1422"/>
      <c r="U11" s="1422"/>
      <c r="V11" s="1422"/>
      <c r="W11" s="1422"/>
      <c r="X11" s="1422"/>
      <c r="Y11" s="1422"/>
      <c r="Z11" s="1654" t="s">
        <v>430</v>
      </c>
      <c r="AA11" s="1422"/>
      <c r="AB11" s="1422"/>
      <c r="AC11" s="1422"/>
      <c r="AD11" s="1422"/>
      <c r="AE11" s="1517"/>
      <c r="AF11" s="1651" t="s">
        <v>58</v>
      </c>
      <c r="AG11" s="1651"/>
      <c r="AH11" s="1651"/>
      <c r="AI11" s="1651"/>
      <c r="AJ11" s="1651"/>
      <c r="AK11" s="1651"/>
      <c r="AL11" s="1651"/>
      <c r="AM11" s="1651"/>
      <c r="AN11" s="1651"/>
      <c r="AO11" s="1655"/>
    </row>
    <row r="12" spans="1:69">
      <c r="A12" s="1652" t="s">
        <v>458</v>
      </c>
      <c r="B12" s="1653"/>
      <c r="C12" s="1653"/>
      <c r="D12" s="1653"/>
      <c r="E12" s="1653"/>
      <c r="F12" s="1653"/>
      <c r="G12" s="1653"/>
      <c r="H12" s="1653"/>
      <c r="I12" s="1653"/>
      <c r="J12" s="1653"/>
      <c r="K12" s="1571"/>
      <c r="L12" s="1572"/>
      <c r="M12" s="1572"/>
      <c r="N12" s="1572"/>
      <c r="O12" s="1572"/>
      <c r="P12" s="1572"/>
      <c r="Q12" s="1572"/>
      <c r="R12" s="1572"/>
      <c r="S12" s="1572"/>
      <c r="T12" s="1572"/>
      <c r="U12" s="1572"/>
      <c r="V12" s="1572"/>
      <c r="W12" s="1572"/>
      <c r="X12" s="1572"/>
      <c r="Y12" s="1572"/>
      <c r="Z12" s="1571"/>
      <c r="AA12" s="1572"/>
      <c r="AB12" s="1572"/>
      <c r="AC12" s="1572"/>
      <c r="AD12" s="1572"/>
      <c r="AE12" s="1573"/>
      <c r="AF12" s="1656"/>
      <c r="AG12" s="1657"/>
      <c r="AH12" s="1657"/>
      <c r="AI12" s="1657"/>
      <c r="AJ12" s="1657"/>
      <c r="AK12" s="1657"/>
      <c r="AL12" s="1657"/>
      <c r="AM12" s="1657"/>
      <c r="AN12" s="1657"/>
      <c r="AO12" s="1658"/>
    </row>
    <row r="13" spans="1:69">
      <c r="A13" s="1642" t="s">
        <v>250</v>
      </c>
      <c r="B13" s="1282"/>
      <c r="C13" s="1282"/>
      <c r="D13" s="1282"/>
      <c r="E13" s="1282"/>
      <c r="F13" s="1282"/>
      <c r="G13" s="1282"/>
      <c r="H13" s="1282"/>
      <c r="I13" s="1282"/>
      <c r="J13" s="1282"/>
      <c r="K13" s="1282"/>
      <c r="L13" s="1282"/>
      <c r="M13" s="1282"/>
      <c r="N13" s="1282"/>
      <c r="O13" s="1282"/>
      <c r="P13" s="1282"/>
      <c r="Q13" s="1282"/>
      <c r="R13" s="1282"/>
      <c r="S13" s="1282"/>
      <c r="T13" s="1282"/>
      <c r="U13" s="1282"/>
      <c r="V13" s="1282"/>
      <c r="W13" s="1282"/>
      <c r="X13" s="1282"/>
      <c r="Y13" s="1282"/>
      <c r="Z13" s="1282"/>
      <c r="AA13" s="1282"/>
      <c r="AB13" s="1282"/>
      <c r="AO13" s="11"/>
    </row>
    <row r="14" spans="1:69" ht="15.75" customHeight="1">
      <c r="A14" s="1643"/>
      <c r="B14" s="1644"/>
      <c r="C14" s="1644"/>
      <c r="D14" s="1644"/>
      <c r="E14" s="1644"/>
      <c r="F14" s="1644"/>
      <c r="G14" s="1644"/>
      <c r="H14" s="1644"/>
      <c r="I14" s="1644"/>
      <c r="J14" s="1644"/>
      <c r="K14" s="1644"/>
      <c r="L14" s="1644"/>
      <c r="M14" s="1644"/>
      <c r="N14" s="1644"/>
      <c r="O14" s="1644"/>
      <c r="P14" s="1644"/>
      <c r="Q14" s="1644"/>
      <c r="R14" s="1644"/>
      <c r="S14" s="1644"/>
      <c r="T14" s="1644"/>
      <c r="U14" s="1644"/>
      <c r="V14" s="1644"/>
      <c r="W14" s="1644"/>
      <c r="X14" s="1644"/>
      <c r="Y14" s="1644"/>
      <c r="Z14" s="1644"/>
      <c r="AA14" s="1644"/>
      <c r="AB14" s="1644"/>
      <c r="AC14" s="1644"/>
      <c r="AD14" s="1644"/>
      <c r="AE14" s="1644"/>
      <c r="AF14" s="1644"/>
      <c r="AG14" s="1644"/>
      <c r="AH14" s="1644"/>
      <c r="AI14" s="1644"/>
      <c r="AJ14" s="1644"/>
      <c r="AK14" s="1644"/>
      <c r="AL14" s="1644"/>
      <c r="AM14" s="1644"/>
      <c r="AN14" s="1644"/>
      <c r="AO14" s="1645"/>
    </row>
    <row r="15" spans="1:69">
      <c r="A15" s="1646"/>
      <c r="B15" s="1644"/>
      <c r="C15" s="1644"/>
      <c r="D15" s="1644"/>
      <c r="E15" s="1644"/>
      <c r="F15" s="1644"/>
      <c r="G15" s="1644"/>
      <c r="H15" s="1644"/>
      <c r="I15" s="1644"/>
      <c r="J15" s="1644"/>
      <c r="K15" s="1644"/>
      <c r="L15" s="1644"/>
      <c r="M15" s="1644"/>
      <c r="N15" s="1644"/>
      <c r="O15" s="1644"/>
      <c r="P15" s="1644"/>
      <c r="Q15" s="1644"/>
      <c r="R15" s="1644"/>
      <c r="S15" s="1644"/>
      <c r="T15" s="1644"/>
      <c r="U15" s="1644"/>
      <c r="V15" s="1644"/>
      <c r="W15" s="1644"/>
      <c r="X15" s="1644"/>
      <c r="Y15" s="1644"/>
      <c r="Z15" s="1644"/>
      <c r="AA15" s="1644"/>
      <c r="AB15" s="1644"/>
      <c r="AC15" s="1644"/>
      <c r="AD15" s="1644"/>
      <c r="AE15" s="1644"/>
      <c r="AF15" s="1644"/>
      <c r="AG15" s="1644"/>
      <c r="AH15" s="1644"/>
      <c r="AI15" s="1644"/>
      <c r="AJ15" s="1644"/>
      <c r="AK15" s="1644"/>
      <c r="AL15" s="1644"/>
      <c r="AM15" s="1644"/>
      <c r="AN15" s="1644"/>
      <c r="AO15" s="1645"/>
      <c r="BJ15" s="1"/>
      <c r="BK15" s="1"/>
      <c r="BL15" s="1"/>
      <c r="BM15" s="1"/>
      <c r="BN15" s="1"/>
      <c r="BO15" s="1"/>
      <c r="BP15" s="1"/>
      <c r="BQ15" s="2"/>
    </row>
    <row r="16" spans="1:69" ht="13.5" thickBot="1">
      <c r="A16" s="1647"/>
      <c r="B16" s="1648"/>
      <c r="C16" s="1648"/>
      <c r="D16" s="1648"/>
      <c r="E16" s="1648"/>
      <c r="F16" s="1648"/>
      <c r="G16" s="1648"/>
      <c r="H16" s="1648"/>
      <c r="I16" s="1648"/>
      <c r="J16" s="1648"/>
      <c r="K16" s="1648"/>
      <c r="L16" s="1648"/>
      <c r="M16" s="1648"/>
      <c r="N16" s="1648"/>
      <c r="O16" s="1648"/>
      <c r="P16" s="1648"/>
      <c r="Q16" s="1648"/>
      <c r="R16" s="1648"/>
      <c r="S16" s="1648"/>
      <c r="T16" s="1648"/>
      <c r="U16" s="1648"/>
      <c r="V16" s="1648"/>
      <c r="W16" s="1648"/>
      <c r="X16" s="1648"/>
      <c r="Y16" s="1648"/>
      <c r="Z16" s="1648"/>
      <c r="AA16" s="1648"/>
      <c r="AB16" s="1648"/>
      <c r="AC16" s="1648"/>
      <c r="AD16" s="1648"/>
      <c r="AE16" s="1648"/>
      <c r="AF16" s="1648"/>
      <c r="AG16" s="1648"/>
      <c r="AH16" s="1648"/>
      <c r="AI16" s="1648"/>
      <c r="AJ16" s="1648"/>
      <c r="AK16" s="1648"/>
      <c r="AL16" s="1648"/>
      <c r="AM16" s="1648"/>
      <c r="AN16" s="1648"/>
      <c r="AO16" s="1649"/>
      <c r="BQ16" s="4"/>
    </row>
    <row r="17" spans="1:70" ht="16.5" thickBot="1">
      <c r="A17" s="147" t="s">
        <v>638</v>
      </c>
      <c r="B17" s="148"/>
      <c r="C17" s="148"/>
      <c r="D17" s="148"/>
      <c r="E17" s="149"/>
      <c r="F17" s="24"/>
      <c r="G17" s="150"/>
      <c r="H17" s="150"/>
      <c r="I17" s="150"/>
      <c r="J17" s="150"/>
      <c r="K17" s="150"/>
      <c r="L17" s="150"/>
      <c r="M17" s="150"/>
      <c r="N17" s="150"/>
      <c r="O17" s="150"/>
      <c r="P17" s="25"/>
      <c r="Q17" s="150"/>
      <c r="R17" s="150"/>
      <c r="S17" s="150"/>
      <c r="T17" s="150"/>
      <c r="U17" s="150"/>
      <c r="V17" s="150"/>
      <c r="W17" s="150"/>
      <c r="X17" s="150"/>
      <c r="Y17" s="150"/>
      <c r="Z17" s="150"/>
      <c r="AA17" s="150"/>
      <c r="AB17" s="150"/>
      <c r="AC17" s="150"/>
      <c r="AD17" s="150"/>
      <c r="AE17" s="150"/>
      <c r="AF17" s="150"/>
      <c r="AG17" s="150"/>
      <c r="AH17" s="150"/>
      <c r="AI17" s="150"/>
      <c r="AJ17" s="150"/>
      <c r="AK17" s="150"/>
      <c r="AL17" s="150"/>
      <c r="AM17" s="150"/>
      <c r="AN17" s="150"/>
      <c r="AO17" s="151"/>
      <c r="AT17" s="9" t="s">
        <v>434</v>
      </c>
      <c r="BQ17" s="4"/>
    </row>
    <row r="18" spans="1:70">
      <c r="A18" s="1631" t="s">
        <v>639</v>
      </c>
      <c r="B18" s="1632"/>
      <c r="C18" s="1632"/>
      <c r="D18" s="1632"/>
      <c r="E18" s="1632"/>
      <c r="F18" s="1632"/>
      <c r="G18" s="1632"/>
      <c r="H18" s="1632"/>
      <c r="I18" s="1632"/>
      <c r="J18" s="1632"/>
      <c r="K18" s="1632"/>
      <c r="L18" s="1632"/>
      <c r="M18" s="1633"/>
      <c r="N18" s="1634" t="s">
        <v>889</v>
      </c>
      <c r="O18" s="1632"/>
      <c r="P18" s="1632"/>
      <c r="Q18" s="1632"/>
      <c r="R18" s="1632"/>
      <c r="S18" s="1632"/>
      <c r="T18" s="1632"/>
      <c r="U18" s="1632"/>
      <c r="V18" s="1632"/>
      <c r="W18" s="1632"/>
      <c r="X18" s="1632"/>
      <c r="Y18" s="1632"/>
      <c r="Z18" s="1632"/>
      <c r="AA18" s="1632"/>
      <c r="AB18" s="1633"/>
      <c r="AC18" s="1635" t="s">
        <v>640</v>
      </c>
      <c r="AD18" s="1636"/>
      <c r="AE18" s="1636"/>
      <c r="AF18" s="1636"/>
      <c r="AG18" s="1636"/>
      <c r="AH18" s="1637"/>
      <c r="AI18" s="135" t="s">
        <v>641</v>
      </c>
      <c r="AJ18" s="134"/>
      <c r="AK18" s="134"/>
      <c r="AL18" s="134"/>
      <c r="AM18" s="134"/>
      <c r="AN18" s="134"/>
      <c r="AO18" s="136"/>
      <c r="AT18" s="9"/>
      <c r="BQ18" s="4"/>
    </row>
    <row r="19" spans="1:70" ht="15.75" customHeight="1">
      <c r="A19" s="1618"/>
      <c r="B19" s="1619"/>
      <c r="C19" s="1619"/>
      <c r="D19" s="1619"/>
      <c r="E19" s="1619"/>
      <c r="F19" s="1619"/>
      <c r="G19" s="1619"/>
      <c r="H19" s="1619"/>
      <c r="I19" s="1619"/>
      <c r="J19" s="1619"/>
      <c r="K19" s="1619"/>
      <c r="L19" s="1619"/>
      <c r="M19" s="1620"/>
      <c r="N19" s="1621"/>
      <c r="O19" s="1622"/>
      <c r="P19" s="1622"/>
      <c r="Q19" s="1622"/>
      <c r="R19" s="1622"/>
      <c r="S19" s="1622"/>
      <c r="T19" s="1622"/>
      <c r="U19" s="1622"/>
      <c r="V19" s="1622"/>
      <c r="W19" s="1623"/>
      <c r="X19" s="1623"/>
      <c r="Y19" s="1623"/>
      <c r="Z19" s="1623"/>
      <c r="AA19" s="1623"/>
      <c r="AB19" s="1624"/>
      <c r="AC19" s="1659"/>
      <c r="AD19" s="1660"/>
      <c r="AE19" s="1660"/>
      <c r="AF19" s="1660"/>
      <c r="AG19" s="1660"/>
      <c r="AH19" s="1661"/>
      <c r="AI19" s="1662"/>
      <c r="AJ19" s="1663"/>
      <c r="AK19" s="1663"/>
      <c r="AL19" s="1663"/>
      <c r="AM19" s="1663"/>
      <c r="AN19" s="1663"/>
      <c r="AO19" s="1664"/>
      <c r="AT19" s="9"/>
      <c r="BQ19" s="4"/>
    </row>
    <row r="20" spans="1:70">
      <c r="A20" s="1347" t="s">
        <v>288</v>
      </c>
      <c r="B20" s="1348"/>
      <c r="C20" s="1348"/>
      <c r="D20" s="1348"/>
      <c r="E20" s="1348"/>
      <c r="F20" s="1348"/>
      <c r="G20" s="1348" t="s">
        <v>289</v>
      </c>
      <c r="H20" s="1348"/>
      <c r="I20" s="1349"/>
      <c r="J20" s="1468" t="s">
        <v>642</v>
      </c>
      <c r="K20" s="1538"/>
      <c r="L20" s="1538"/>
      <c r="M20" s="1538"/>
      <c r="N20" s="1674"/>
      <c r="O20" s="1617" t="s">
        <v>643</v>
      </c>
      <c r="P20" s="1469"/>
      <c r="Q20" s="1469"/>
      <c r="R20" s="1469"/>
      <c r="S20" s="1469"/>
      <c r="T20" s="1469"/>
      <c r="U20" s="1469"/>
      <c r="V20" s="1469"/>
      <c r="W20" s="1617" t="s">
        <v>219</v>
      </c>
      <c r="X20" s="1538"/>
      <c r="Y20" s="1538"/>
      <c r="Z20" s="1538"/>
      <c r="AA20" s="1538"/>
      <c r="AB20" s="1538"/>
      <c r="AC20" s="1538"/>
      <c r="AD20" s="1538"/>
      <c r="AE20" s="1538"/>
      <c r="AF20" s="1538"/>
      <c r="AG20" s="1538"/>
      <c r="AH20" s="1538"/>
      <c r="AI20" s="1538"/>
      <c r="AJ20" s="1538"/>
      <c r="AK20" s="1538"/>
      <c r="AL20" s="1538"/>
      <c r="AM20" s="1538"/>
      <c r="AN20" s="1538"/>
      <c r="AO20" s="1539"/>
      <c r="AT20" s="9"/>
      <c r="BB20" s="16"/>
      <c r="BC20" s="16"/>
      <c r="BD20" s="16"/>
      <c r="BE20" s="16"/>
      <c r="BF20" s="16"/>
      <c r="BQ20" s="4"/>
    </row>
    <row r="21" spans="1:70" ht="13.5" thickBot="1">
      <c r="A21" s="1570"/>
      <c r="B21" s="1568"/>
      <c r="C21" s="1568"/>
      <c r="D21" s="1568"/>
      <c r="E21" s="1568"/>
      <c r="F21" s="1568"/>
      <c r="G21" s="1567"/>
      <c r="H21" s="1568"/>
      <c r="I21" s="1569"/>
      <c r="J21" s="1672"/>
      <c r="K21" s="1567"/>
      <c r="L21" s="1567"/>
      <c r="M21" s="1567"/>
      <c r="N21" s="1673"/>
      <c r="O21" s="1672"/>
      <c r="P21" s="1567"/>
      <c r="Q21" s="1567"/>
      <c r="R21" s="1567"/>
      <c r="S21" s="1567"/>
      <c r="T21" s="1567"/>
      <c r="U21" s="1567"/>
      <c r="V21" s="1567"/>
      <c r="W21" s="1625"/>
      <c r="X21" s="1626"/>
      <c r="Y21" s="1626"/>
      <c r="Z21" s="1626"/>
      <c r="AA21" s="1626"/>
      <c r="AB21" s="1626"/>
      <c r="AC21" s="1626"/>
      <c r="AD21" s="1626"/>
      <c r="AE21" s="1626"/>
      <c r="AF21" s="1626"/>
      <c r="AG21" s="1626"/>
      <c r="AH21" s="1626"/>
      <c r="AI21" s="1626"/>
      <c r="AJ21" s="1626"/>
      <c r="AK21" s="1626"/>
      <c r="AL21" s="1626"/>
      <c r="AM21" s="1626"/>
      <c r="AN21" s="1626"/>
      <c r="AO21" s="1627"/>
      <c r="AT21" s="9"/>
      <c r="BB21" s="16"/>
      <c r="BC21" s="16"/>
      <c r="BD21" s="16"/>
      <c r="BE21" s="16"/>
      <c r="BF21" s="16"/>
      <c r="BQ21" s="4"/>
    </row>
    <row r="22" spans="1:70" ht="15.75">
      <c r="A22" s="1675" t="s">
        <v>644</v>
      </c>
      <c r="B22" s="1676"/>
      <c r="C22" s="1676"/>
      <c r="D22" s="1676"/>
      <c r="E22" s="1676"/>
      <c r="F22" s="1676"/>
      <c r="G22" s="1676"/>
      <c r="H22" s="1676"/>
      <c r="I22" s="1676"/>
      <c r="J22" s="1676"/>
      <c r="K22" s="1676"/>
      <c r="L22" s="1676"/>
      <c r="M22" s="1676"/>
      <c r="N22" s="1676"/>
      <c r="O22" s="1676"/>
      <c r="P22" s="1676"/>
      <c r="Q22" s="1676"/>
      <c r="R22" s="1676"/>
      <c r="S22" s="1676"/>
      <c r="T22" s="1676"/>
      <c r="U22" s="1676"/>
      <c r="V22" s="1676"/>
      <c r="W22" s="1676"/>
      <c r="X22" s="1676"/>
      <c r="Y22" s="1676"/>
      <c r="Z22" s="1676"/>
      <c r="AA22" s="1676"/>
      <c r="AB22" s="1676"/>
      <c r="AC22" s="1676"/>
      <c r="AD22" s="1676"/>
      <c r="AE22" s="1676"/>
      <c r="AF22" s="1676"/>
      <c r="AG22" s="1676"/>
      <c r="AH22" s="1676"/>
      <c r="AI22" s="1676"/>
      <c r="AJ22" s="1676"/>
      <c r="AK22" s="1676"/>
      <c r="AL22" s="1676"/>
      <c r="AM22" s="1676"/>
      <c r="AN22" s="1676"/>
      <c r="AO22" s="1677"/>
      <c r="AT22" s="9"/>
      <c r="BB22" s="16"/>
      <c r="BC22" s="16"/>
      <c r="BD22" s="16"/>
      <c r="BE22" s="16"/>
      <c r="BF22" s="16"/>
      <c r="BQ22" s="4"/>
    </row>
    <row r="23" spans="1:70" ht="14.25">
      <c r="A23" s="628"/>
      <c r="B23" s="152" t="s">
        <v>308</v>
      </c>
      <c r="C23" s="152"/>
      <c r="D23" s="152"/>
      <c r="E23" s="152"/>
      <c r="H23" s="94"/>
      <c r="I23" s="153" t="s">
        <v>645</v>
      </c>
      <c r="J23" s="153"/>
      <c r="K23" s="153"/>
      <c r="L23" s="153"/>
      <c r="P23" s="154"/>
      <c r="S23" s="1422" t="s">
        <v>307</v>
      </c>
      <c r="T23" s="1422"/>
      <c r="U23" s="1422"/>
      <c r="V23" s="1422"/>
      <c r="W23" s="1422"/>
      <c r="X23" s="1422"/>
      <c r="Y23" s="1422"/>
      <c r="Z23" s="1422"/>
      <c r="AA23" s="1422"/>
      <c r="AB23" s="1422"/>
      <c r="AC23" s="1422"/>
      <c r="AD23" s="1422"/>
      <c r="AE23" s="1422"/>
      <c r="AF23" s="1422"/>
      <c r="AG23" s="1422"/>
      <c r="AH23" s="1422"/>
      <c r="AI23" s="1422"/>
      <c r="AJ23" s="1422"/>
      <c r="AK23" s="1422"/>
      <c r="AL23" s="1422"/>
      <c r="AM23" s="1422"/>
      <c r="AN23" s="1422"/>
      <c r="AO23" s="11"/>
      <c r="AT23" s="9"/>
      <c r="BB23" s="16"/>
      <c r="BC23" s="16"/>
      <c r="BD23" s="16"/>
      <c r="BE23" s="16"/>
      <c r="BF23" s="16"/>
      <c r="BQ23" s="4"/>
    </row>
    <row r="24" spans="1:70" ht="14.25">
      <c r="A24" s="628"/>
      <c r="B24" s="152" t="s">
        <v>312</v>
      </c>
      <c r="C24" s="152"/>
      <c r="D24" s="152"/>
      <c r="E24" s="152"/>
      <c r="F24" s="152"/>
      <c r="G24" s="28"/>
      <c r="H24" s="94"/>
      <c r="I24" s="153" t="s">
        <v>646</v>
      </c>
      <c r="J24" s="153"/>
      <c r="K24" s="153"/>
      <c r="L24" s="153"/>
      <c r="M24" s="153"/>
      <c r="P24" s="154"/>
      <c r="R24" s="1679" t="s">
        <v>647</v>
      </c>
      <c r="S24" s="1679"/>
      <c r="T24" s="1679"/>
      <c r="U24" s="1680"/>
      <c r="V24" s="1565"/>
      <c r="W24" s="1565"/>
      <c r="X24" s="1565"/>
      <c r="Y24" s="1565"/>
      <c r="Z24" s="1565"/>
      <c r="AA24" s="1565"/>
      <c r="AB24" s="1565"/>
      <c r="AC24" s="1565"/>
      <c r="AD24" s="1565"/>
      <c r="AE24" s="1565"/>
      <c r="AF24" s="1565"/>
      <c r="AG24" s="1565"/>
      <c r="AH24" s="1565"/>
      <c r="AI24" s="1565"/>
      <c r="AJ24" s="1565"/>
      <c r="AK24" s="1565"/>
      <c r="AL24" s="1565"/>
      <c r="AM24" s="1565"/>
      <c r="AN24" s="1565"/>
      <c r="AO24" s="1566"/>
      <c r="AT24" s="9"/>
      <c r="BB24" s="16"/>
      <c r="BC24" s="16"/>
      <c r="BD24" s="16"/>
      <c r="BE24" s="16"/>
      <c r="BF24" s="16"/>
      <c r="BQ24" s="4"/>
    </row>
    <row r="25" spans="1:70" ht="14.25">
      <c r="A25" s="628"/>
      <c r="B25" s="152" t="s">
        <v>313</v>
      </c>
      <c r="C25" s="152"/>
      <c r="D25" s="152"/>
      <c r="E25" s="152"/>
      <c r="F25" s="28" t="s">
        <v>434</v>
      </c>
      <c r="G25" s="28"/>
      <c r="H25" s="94"/>
      <c r="I25" s="153" t="s">
        <v>648</v>
      </c>
      <c r="J25" s="153"/>
      <c r="K25" s="153"/>
      <c r="L25" s="153"/>
      <c r="M25" s="153"/>
      <c r="N25" s="153"/>
      <c r="P25" s="154"/>
      <c r="R25" s="1679"/>
      <c r="S25" s="1679"/>
      <c r="T25" s="1679"/>
      <c r="U25" s="1680"/>
      <c r="V25" s="1565"/>
      <c r="W25" s="1565"/>
      <c r="X25" s="1565"/>
      <c r="Y25" s="1565"/>
      <c r="Z25" s="1565"/>
      <c r="AA25" s="1565"/>
      <c r="AB25" s="1565"/>
      <c r="AC25" s="1565"/>
      <c r="AD25" s="1565"/>
      <c r="AE25" s="1565"/>
      <c r="AF25" s="1565"/>
      <c r="AG25" s="1565"/>
      <c r="AH25" s="1565"/>
      <c r="AI25" s="1565"/>
      <c r="AJ25" s="1565"/>
      <c r="AK25" s="1565"/>
      <c r="AL25" s="1565"/>
      <c r="AM25" s="1565"/>
      <c r="AN25" s="1565"/>
      <c r="AO25" s="1566"/>
      <c r="AT25" s="9"/>
      <c r="BB25" s="16"/>
      <c r="BC25" s="16"/>
      <c r="BD25" s="16"/>
      <c r="BE25" s="16"/>
      <c r="BF25" s="16"/>
      <c r="BQ25" s="4"/>
    </row>
    <row r="26" spans="1:70" ht="14.25">
      <c r="A26" s="628"/>
      <c r="B26" s="152" t="s">
        <v>314</v>
      </c>
      <c r="C26" s="152"/>
      <c r="D26" s="152"/>
      <c r="E26" s="152"/>
      <c r="F26" s="28"/>
      <c r="G26" s="28"/>
      <c r="H26" s="94"/>
      <c r="I26" s="153" t="s">
        <v>333</v>
      </c>
      <c r="J26" s="153"/>
      <c r="K26" s="153"/>
      <c r="L26" s="153"/>
      <c r="M26" s="153"/>
      <c r="N26" s="153"/>
      <c r="O26" s="153"/>
      <c r="P26" s="153"/>
      <c r="R26" s="1679" t="s">
        <v>649</v>
      </c>
      <c r="S26" s="1679"/>
      <c r="T26" s="1679"/>
      <c r="U26" s="1680"/>
      <c r="V26" s="1565" t="s">
        <v>49</v>
      </c>
      <c r="W26" s="1565"/>
      <c r="X26" s="1565"/>
      <c r="Y26" s="1565"/>
      <c r="Z26" s="1565"/>
      <c r="AA26" s="1565"/>
      <c r="AB26" s="1565"/>
      <c r="AC26" s="1565"/>
      <c r="AD26" s="1565"/>
      <c r="AE26" s="1565"/>
      <c r="AF26" s="1565"/>
      <c r="AG26" s="1565"/>
      <c r="AH26" s="1565"/>
      <c r="AI26" s="1565"/>
      <c r="AJ26" s="1565"/>
      <c r="AK26" s="1565"/>
      <c r="AL26" s="1565"/>
      <c r="AM26" s="1565"/>
      <c r="AN26" s="1565"/>
      <c r="AO26" s="1566"/>
      <c r="AT26" s="9"/>
      <c r="AX26" t="s">
        <v>434</v>
      </c>
      <c r="BB26" s="16"/>
      <c r="BC26" s="16"/>
      <c r="BD26" s="16"/>
      <c r="BE26" s="16"/>
      <c r="BF26" s="16"/>
      <c r="BQ26" s="4"/>
    </row>
    <row r="27" spans="1:70" ht="14.25" customHeight="1">
      <c r="A27" s="629" t="s">
        <v>434</v>
      </c>
      <c r="B27" s="153" t="s">
        <v>315</v>
      </c>
      <c r="C27" s="153"/>
      <c r="D27" s="153"/>
      <c r="E27" s="153"/>
      <c r="F27" s="153"/>
      <c r="G27" s="28"/>
      <c r="H27" s="627" t="s">
        <v>434</v>
      </c>
      <c r="I27" s="153" t="s">
        <v>334</v>
      </c>
      <c r="J27" s="153"/>
      <c r="K27" s="153"/>
      <c r="L27" s="153"/>
      <c r="M27" s="153"/>
      <c r="N27" s="154"/>
      <c r="O27" s="154"/>
      <c r="P27" s="154"/>
      <c r="R27" s="1679"/>
      <c r="S27" s="1679"/>
      <c r="T27" s="1679"/>
      <c r="U27" s="1680"/>
      <c r="V27" s="1565"/>
      <c r="W27" s="1565"/>
      <c r="X27" s="1565"/>
      <c r="Y27" s="1565"/>
      <c r="Z27" s="1565"/>
      <c r="AA27" s="1565"/>
      <c r="AB27" s="1565"/>
      <c r="AC27" s="1565"/>
      <c r="AD27" s="1565"/>
      <c r="AE27" s="1565"/>
      <c r="AF27" s="1565"/>
      <c r="AG27" s="1565"/>
      <c r="AH27" s="1565"/>
      <c r="AI27" s="1565"/>
      <c r="AJ27" s="1565"/>
      <c r="AK27" s="1565"/>
      <c r="AL27" s="1565"/>
      <c r="AM27" s="1565"/>
      <c r="AN27" s="1565"/>
      <c r="AO27" s="1566"/>
      <c r="AT27" s="9"/>
      <c r="BB27" s="16"/>
      <c r="BC27" s="16"/>
      <c r="BD27" s="16"/>
      <c r="BE27" s="16"/>
      <c r="BF27" s="16"/>
      <c r="BI27" s="26"/>
      <c r="BQ27" s="4"/>
    </row>
    <row r="28" spans="1:70" ht="14.25">
      <c r="A28" s="143"/>
      <c r="B28" s="74" t="s">
        <v>316</v>
      </c>
      <c r="C28" s="74"/>
      <c r="D28" s="74"/>
      <c r="E28" s="74"/>
      <c r="F28" s="74"/>
      <c r="G28" s="28"/>
      <c r="H28" s="627"/>
      <c r="I28" s="153" t="s">
        <v>335</v>
      </c>
      <c r="J28" s="153"/>
      <c r="K28" s="153"/>
      <c r="L28" s="153"/>
      <c r="M28" s="153"/>
      <c r="N28" s="153"/>
      <c r="O28" s="153"/>
      <c r="P28" s="153"/>
      <c r="Q28" s="153"/>
      <c r="R28" s="1679" t="s">
        <v>475</v>
      </c>
      <c r="S28" s="1679"/>
      <c r="T28" s="1679"/>
      <c r="U28" s="1680"/>
      <c r="V28" s="1565"/>
      <c r="W28" s="1565"/>
      <c r="X28" s="1565"/>
      <c r="Y28" s="1565"/>
      <c r="Z28" s="1565"/>
      <c r="AA28" s="1565"/>
      <c r="AB28" s="1565"/>
      <c r="AC28" s="1565"/>
      <c r="AD28" s="1565"/>
      <c r="AE28" s="1565"/>
      <c r="AF28" s="1565"/>
      <c r="AG28" s="1565"/>
      <c r="AH28" s="1565"/>
      <c r="AI28" s="1565"/>
      <c r="AJ28" s="1565"/>
      <c r="AK28" s="1565"/>
      <c r="AL28" s="1565"/>
      <c r="AM28" s="1565"/>
      <c r="AN28" s="1565"/>
      <c r="AO28" s="1566"/>
      <c r="AT28" s="9"/>
      <c r="BI28" s="26"/>
      <c r="BQ28" s="4"/>
    </row>
    <row r="29" spans="1:70" ht="14.25" customHeight="1">
      <c r="A29" s="143" t="s">
        <v>434</v>
      </c>
      <c r="B29" s="74" t="s">
        <v>330</v>
      </c>
      <c r="C29" s="74"/>
      <c r="D29" s="74"/>
      <c r="E29" s="74"/>
      <c r="F29" s="28"/>
      <c r="G29" s="28"/>
      <c r="H29" s="627"/>
      <c r="I29" s="153" t="s">
        <v>336</v>
      </c>
      <c r="J29" s="153"/>
      <c r="K29" s="153"/>
      <c r="L29" s="153"/>
      <c r="M29" s="153"/>
      <c r="N29" s="153"/>
      <c r="O29" s="153"/>
      <c r="P29" s="154"/>
      <c r="Q29" s="74"/>
      <c r="R29" s="1679"/>
      <c r="S29" s="1679"/>
      <c r="T29" s="1679"/>
      <c r="U29" s="1680"/>
      <c r="V29" s="1565"/>
      <c r="W29" s="1565"/>
      <c r="X29" s="1565"/>
      <c r="Y29" s="1565"/>
      <c r="Z29" s="1565"/>
      <c r="AA29" s="1565"/>
      <c r="AB29" s="1565"/>
      <c r="AC29" s="1565"/>
      <c r="AD29" s="1565"/>
      <c r="AE29" s="1565"/>
      <c r="AF29" s="1565"/>
      <c r="AG29" s="1565"/>
      <c r="AH29" s="1565"/>
      <c r="AI29" s="1565"/>
      <c r="AJ29" s="1565"/>
      <c r="AK29" s="1565"/>
      <c r="AL29" s="1565"/>
      <c r="AM29" s="1565"/>
      <c r="AN29" s="1565"/>
      <c r="AO29" s="1566"/>
      <c r="BI29" s="26"/>
      <c r="BQ29" s="4"/>
    </row>
    <row r="30" spans="1:70">
      <c r="A30" s="143"/>
      <c r="B30" s="74" t="s">
        <v>331</v>
      </c>
      <c r="C30" s="74"/>
      <c r="D30" s="74"/>
      <c r="E30" s="74"/>
      <c r="F30" s="74"/>
      <c r="G30" s="74"/>
      <c r="H30" s="627"/>
      <c r="I30" s="156" t="s">
        <v>337</v>
      </c>
      <c r="J30" s="156"/>
      <c r="K30" s="156"/>
      <c r="L30" s="156"/>
      <c r="M30" s="156"/>
      <c r="N30" s="156"/>
      <c r="O30" s="156"/>
      <c r="P30" s="156"/>
      <c r="Q30" s="74"/>
      <c r="R30" s="1679" t="s">
        <v>481</v>
      </c>
      <c r="S30" s="1679"/>
      <c r="T30" s="1679"/>
      <c r="U30" s="1680"/>
      <c r="V30" s="1565"/>
      <c r="W30" s="1565"/>
      <c r="X30" s="1565"/>
      <c r="Y30" s="1565"/>
      <c r="Z30" s="1565"/>
      <c r="AA30" s="1565"/>
      <c r="AB30" s="1565"/>
      <c r="AC30" s="1565"/>
      <c r="AD30" s="1565"/>
      <c r="AE30" s="1565"/>
      <c r="AF30" s="1565"/>
      <c r="AG30" s="1565"/>
      <c r="AH30" s="1565"/>
      <c r="AI30" s="1565"/>
      <c r="AJ30" s="1565"/>
      <c r="AK30" s="1565"/>
      <c r="AL30" s="1565"/>
      <c r="AM30" s="1565"/>
      <c r="AN30" s="1565"/>
      <c r="AO30" s="1566"/>
      <c r="BI30" s="26"/>
      <c r="BQ30" s="4"/>
    </row>
    <row r="31" spans="1:70" ht="12" customHeight="1">
      <c r="A31" s="143"/>
      <c r="B31" s="1678" t="s">
        <v>890</v>
      </c>
      <c r="C31" s="1678"/>
      <c r="D31" s="1678"/>
      <c r="E31" s="1678"/>
      <c r="F31" s="1678"/>
      <c r="G31" s="155"/>
      <c r="H31" s="627"/>
      <c r="I31" s="153" t="s">
        <v>338</v>
      </c>
      <c r="J31" s="153"/>
      <c r="K31" s="153"/>
      <c r="L31" s="153"/>
      <c r="M31" s="153"/>
      <c r="N31" s="154"/>
      <c r="O31" s="154"/>
      <c r="P31" s="154"/>
      <c r="Q31" s="74"/>
      <c r="R31" s="1679"/>
      <c r="S31" s="1679"/>
      <c r="T31" s="1679"/>
      <c r="U31" s="1680"/>
      <c r="V31" s="1565"/>
      <c r="W31" s="1565"/>
      <c r="X31" s="1565"/>
      <c r="Y31" s="1565"/>
      <c r="Z31" s="1565"/>
      <c r="AA31" s="1565"/>
      <c r="AB31" s="1565"/>
      <c r="AC31" s="1565"/>
      <c r="AD31" s="1565"/>
      <c r="AE31" s="1565"/>
      <c r="AF31" s="1565"/>
      <c r="AG31" s="1565"/>
      <c r="AH31" s="1565"/>
      <c r="AI31" s="1565"/>
      <c r="AJ31" s="1565"/>
      <c r="AK31" s="1565"/>
      <c r="AL31" s="1565"/>
      <c r="AM31" s="1565"/>
      <c r="AN31" s="1565"/>
      <c r="AO31" s="1566"/>
      <c r="BI31" s="44"/>
    </row>
    <row r="32" spans="1:70" ht="15" customHeight="1">
      <c r="A32" s="143"/>
      <c r="B32" s="74" t="s">
        <v>332</v>
      </c>
      <c r="C32" s="74"/>
      <c r="D32" s="74"/>
      <c r="E32" s="74"/>
      <c r="F32" s="74"/>
      <c r="G32" s="74"/>
      <c r="H32" s="627"/>
      <c r="I32" s="74" t="s">
        <v>339</v>
      </c>
      <c r="J32" s="74"/>
      <c r="K32" s="74"/>
      <c r="L32" s="74"/>
      <c r="M32" s="74"/>
      <c r="N32" s="74"/>
      <c r="O32" s="74"/>
      <c r="P32" s="74"/>
      <c r="Q32" s="74"/>
      <c r="R32" s="1563" t="s">
        <v>351</v>
      </c>
      <c r="S32" s="1563"/>
      <c r="T32" s="1563"/>
      <c r="U32" s="1564"/>
      <c r="V32" s="1565"/>
      <c r="W32" s="1565"/>
      <c r="X32" s="1565"/>
      <c r="Y32" s="1565"/>
      <c r="Z32" s="1565"/>
      <c r="AA32" s="1565"/>
      <c r="AB32" s="1565"/>
      <c r="AC32" s="1565"/>
      <c r="AD32" s="1565"/>
      <c r="AE32" s="1565"/>
      <c r="AF32" s="1565"/>
      <c r="AG32" s="1565"/>
      <c r="AH32" s="1565"/>
      <c r="AI32" s="1565"/>
      <c r="AJ32" s="1565"/>
      <c r="AK32" s="1565"/>
      <c r="AL32" s="1565"/>
      <c r="AM32" s="1565"/>
      <c r="AN32" s="1565"/>
      <c r="AO32" s="1566"/>
      <c r="AP32" s="28"/>
      <c r="AY32" s="14"/>
      <c r="BJ32" s="26"/>
      <c r="BR32" s="4"/>
    </row>
    <row r="33" spans="1:70" ht="14.25">
      <c r="A33" s="10"/>
      <c r="C33" s="67"/>
      <c r="D33" s="67"/>
      <c r="E33" s="67"/>
      <c r="F33" s="28"/>
      <c r="G33" s="28"/>
      <c r="H33" s="155"/>
      <c r="I33" s="74"/>
      <c r="J33" s="154"/>
      <c r="K33" s="154"/>
      <c r="L33" s="154"/>
      <c r="M33" s="154"/>
      <c r="N33" s="154"/>
      <c r="O33" s="154"/>
      <c r="P33" s="154"/>
      <c r="Q33" s="74"/>
      <c r="R33" s="1563"/>
      <c r="S33" s="1563"/>
      <c r="T33" s="1563"/>
      <c r="U33" s="1564"/>
      <c r="V33" s="1565"/>
      <c r="W33" s="1565"/>
      <c r="X33" s="1565"/>
      <c r="Y33" s="1565"/>
      <c r="Z33" s="1565"/>
      <c r="AA33" s="1565"/>
      <c r="AB33" s="1565"/>
      <c r="AC33" s="1565"/>
      <c r="AD33" s="1565"/>
      <c r="AE33" s="1565"/>
      <c r="AF33" s="1565"/>
      <c r="AG33" s="1565"/>
      <c r="AH33" s="1565"/>
      <c r="AI33" s="1565"/>
      <c r="AJ33" s="1565"/>
      <c r="AK33" s="1565"/>
      <c r="AL33" s="1565"/>
      <c r="AM33" s="1565"/>
      <c r="AN33" s="1565"/>
      <c r="AO33" s="1566"/>
      <c r="AP33" s="28"/>
      <c r="BJ33" s="26"/>
      <c r="BR33" s="4"/>
    </row>
    <row r="34" spans="1:70" ht="15" thickBot="1">
      <c r="A34" s="10"/>
      <c r="C34" s="67"/>
      <c r="D34" s="67"/>
      <c r="E34" s="67"/>
      <c r="F34" s="28"/>
      <c r="G34" s="28"/>
      <c r="H34" s="155"/>
      <c r="I34" s="74"/>
      <c r="J34" s="154"/>
      <c r="K34" s="154"/>
      <c r="L34" s="154"/>
      <c r="M34" s="154"/>
      <c r="N34" s="154"/>
      <c r="O34" s="154"/>
      <c r="P34" s="154"/>
      <c r="Q34" s="74"/>
      <c r="R34" s="74"/>
      <c r="S34" s="44"/>
      <c r="W34" s="56"/>
      <c r="X34" s="56"/>
      <c r="Y34" s="56"/>
      <c r="Z34" s="56"/>
      <c r="AA34" s="56"/>
      <c r="AB34" s="56"/>
      <c r="AC34" s="56"/>
      <c r="AD34" s="56"/>
      <c r="AE34" s="56"/>
      <c r="AF34" s="56"/>
      <c r="AG34" s="56"/>
      <c r="AH34" s="56"/>
      <c r="AI34" s="56"/>
      <c r="AJ34" s="56"/>
      <c r="AK34" s="56"/>
      <c r="AL34" s="56"/>
      <c r="AM34" s="56"/>
      <c r="AN34" s="56"/>
      <c r="AO34" s="157"/>
      <c r="BJ34" s="26"/>
      <c r="BR34" s="4"/>
    </row>
    <row r="35" spans="1:70" ht="15.75">
      <c r="A35" s="1668" t="s">
        <v>650</v>
      </c>
      <c r="B35" s="1669"/>
      <c r="C35" s="1669"/>
      <c r="D35" s="1669"/>
      <c r="E35" s="1669"/>
      <c r="F35" s="1669"/>
      <c r="G35" s="1669"/>
      <c r="H35" s="1669"/>
      <c r="I35" s="1669"/>
      <c r="J35" s="1669"/>
      <c r="K35" s="1669"/>
      <c r="L35" s="1669"/>
      <c r="M35" s="1669"/>
      <c r="N35" s="1669"/>
      <c r="O35" s="1669"/>
      <c r="P35" s="1669"/>
      <c r="Q35" s="1669"/>
      <c r="R35" s="1669"/>
      <c r="S35" s="1669"/>
      <c r="T35" s="1669"/>
      <c r="U35" s="1669"/>
      <c r="V35" s="1669"/>
      <c r="W35" s="1669"/>
      <c r="X35" s="1669"/>
      <c r="Y35" s="1670"/>
      <c r="Z35" s="1665" t="s">
        <v>651</v>
      </c>
      <c r="AA35" s="1666"/>
      <c r="AB35" s="1671"/>
      <c r="AC35" s="1665" t="s">
        <v>651</v>
      </c>
      <c r="AD35" s="1666"/>
      <c r="AE35" s="1671"/>
      <c r="AF35" s="1665" t="s">
        <v>651</v>
      </c>
      <c r="AG35" s="1666"/>
      <c r="AH35" s="1671"/>
      <c r="AI35" s="1665" t="s">
        <v>652</v>
      </c>
      <c r="AJ35" s="1666"/>
      <c r="AK35" s="1671"/>
      <c r="AL35" s="1665" t="s">
        <v>653</v>
      </c>
      <c r="AM35" s="1666"/>
      <c r="AN35" s="1666"/>
      <c r="AO35" s="1667"/>
      <c r="BJ35" s="26"/>
      <c r="BR35" s="4"/>
    </row>
    <row r="36" spans="1:70" ht="14.25" customHeight="1">
      <c r="A36" s="1681" t="s">
        <v>434</v>
      </c>
      <c r="B36" s="1682"/>
      <c r="C36" s="1682"/>
      <c r="D36" s="1683"/>
      <c r="E36" s="1684" t="s">
        <v>654</v>
      </c>
      <c r="F36" s="1685"/>
      <c r="G36" s="1686"/>
      <c r="H36" s="1698" t="s">
        <v>655</v>
      </c>
      <c r="I36" s="1699"/>
      <c r="J36" s="1700"/>
      <c r="K36" s="1701" t="s">
        <v>656</v>
      </c>
      <c r="L36" s="1481"/>
      <c r="M36" s="1702"/>
      <c r="N36" s="1698" t="s">
        <v>657</v>
      </c>
      <c r="O36" s="1699"/>
      <c r="P36" s="1700"/>
      <c r="Q36" s="1698" t="s">
        <v>658</v>
      </c>
      <c r="R36" s="1699"/>
      <c r="S36" s="1700"/>
      <c r="T36" s="1698" t="s">
        <v>659</v>
      </c>
      <c r="U36" s="1699"/>
      <c r="V36" s="1700"/>
      <c r="W36" s="1698" t="s">
        <v>660</v>
      </c>
      <c r="X36" s="1699"/>
      <c r="Y36" s="1700"/>
      <c r="Z36" s="1598" t="s">
        <v>661</v>
      </c>
      <c r="AA36" s="1599"/>
      <c r="AB36" s="1600"/>
      <c r="AC36" s="29" t="s">
        <v>662</v>
      </c>
      <c r="AD36" s="30"/>
      <c r="AE36" s="31"/>
      <c r="AF36" s="1598" t="s">
        <v>663</v>
      </c>
      <c r="AG36" s="1599"/>
      <c r="AH36" s="1601"/>
      <c r="AI36" s="1598" t="s">
        <v>340</v>
      </c>
      <c r="AJ36" s="1599"/>
      <c r="AK36" s="1601"/>
      <c r="AL36" s="1598" t="s">
        <v>664</v>
      </c>
      <c r="AM36" s="1599"/>
      <c r="AN36" s="1599"/>
      <c r="AO36" s="1693"/>
      <c r="BJ36" s="26"/>
      <c r="BR36" s="4"/>
    </row>
    <row r="37" spans="1:70" s="620" customFormat="1" ht="15.75" customHeight="1">
      <c r="A37" s="625" t="s">
        <v>665</v>
      </c>
      <c r="B37" s="619"/>
      <c r="C37" s="619"/>
      <c r="D37" s="619"/>
      <c r="E37" s="1694"/>
      <c r="F37" s="1695"/>
      <c r="G37" s="1696"/>
      <c r="H37" s="1697"/>
      <c r="I37" s="1695"/>
      <c r="J37" s="1696"/>
      <c r="K37" s="1697"/>
      <c r="L37" s="1695"/>
      <c r="M37" s="1696"/>
      <c r="N37" s="1697"/>
      <c r="O37" s="1695"/>
      <c r="P37" s="1696"/>
      <c r="Q37" s="1697"/>
      <c r="R37" s="1695"/>
      <c r="S37" s="1696"/>
      <c r="T37" s="1697"/>
      <c r="U37" s="1695"/>
      <c r="V37" s="1696"/>
      <c r="W37" s="1697"/>
      <c r="X37" s="1695"/>
      <c r="Y37" s="1696"/>
      <c r="Z37" s="1703">
        <f>H37+K37+N37+Q37+T37+W37</f>
        <v>0</v>
      </c>
      <c r="AA37" s="1704"/>
      <c r="AB37" s="1705"/>
      <c r="AC37" s="1703">
        <f>SUM((H37*1)+(K37*1)+(N37*2)+(Q37*3)+(T37*4)+(W37*5))</f>
        <v>0</v>
      </c>
      <c r="AD37" s="1704"/>
      <c r="AE37" s="1705"/>
      <c r="AF37" s="1706"/>
      <c r="AG37" s="1707"/>
      <c r="AH37" s="1708"/>
      <c r="AI37" s="1706"/>
      <c r="AJ37" s="1707"/>
      <c r="AK37" s="1708"/>
      <c r="AL37" s="1706"/>
      <c r="AM37" s="1707"/>
      <c r="AN37" s="1707"/>
      <c r="AO37" s="1709"/>
      <c r="AQ37" s="81"/>
      <c r="AS37" s="81"/>
      <c r="BJ37" s="621"/>
      <c r="BR37" s="622"/>
    </row>
    <row r="38" spans="1:70" s="620" customFormat="1" ht="15.75" customHeight="1" thickBot="1">
      <c r="A38" s="626" t="s">
        <v>666</v>
      </c>
      <c r="B38" s="623"/>
      <c r="C38" s="623"/>
      <c r="D38" s="623"/>
      <c r="E38" s="1687"/>
      <c r="F38" s="1688"/>
      <c r="G38" s="1710"/>
      <c r="H38" s="1711"/>
      <c r="I38" s="1688"/>
      <c r="J38" s="1710"/>
      <c r="K38" s="1711"/>
      <c r="L38" s="1688"/>
      <c r="M38" s="1710"/>
      <c r="N38" s="1711"/>
      <c r="O38" s="1688"/>
      <c r="P38" s="1710"/>
      <c r="Q38" s="1711"/>
      <c r="R38" s="1688"/>
      <c r="S38" s="1710"/>
      <c r="T38" s="1711"/>
      <c r="U38" s="1688"/>
      <c r="V38" s="1688"/>
      <c r="W38" s="1687"/>
      <c r="X38" s="1688"/>
      <c r="Y38" s="1689"/>
      <c r="Z38" s="1690">
        <f>H38+K38+N38+Q38+T38+W38</f>
        <v>0</v>
      </c>
      <c r="AA38" s="1691"/>
      <c r="AB38" s="1692"/>
      <c r="AC38" s="1724">
        <f>SUM((H38*1)+(K38*1)+(N38*2)+(Q38*3)+(T38*4)+(W38*5))</f>
        <v>0</v>
      </c>
      <c r="AD38" s="1691"/>
      <c r="AE38" s="1692"/>
      <c r="AF38" s="1602"/>
      <c r="AG38" s="1603"/>
      <c r="AH38" s="1604"/>
      <c r="AI38" s="1602"/>
      <c r="AJ38" s="1603"/>
      <c r="AK38" s="1604"/>
      <c r="AL38" s="1602"/>
      <c r="AM38" s="1603"/>
      <c r="AN38" s="1603"/>
      <c r="AO38" s="1605"/>
      <c r="AQ38" s="624"/>
      <c r="BP38" s="622"/>
    </row>
    <row r="39" spans="1:70" ht="9" customHeight="1" thickBot="1">
      <c r="A39" s="50"/>
      <c r="B39" s="16"/>
      <c r="C39" s="16"/>
      <c r="D39" s="16"/>
      <c r="E39" s="16"/>
      <c r="F39" s="16"/>
      <c r="G39" s="16"/>
      <c r="H39" s="16"/>
      <c r="I39" s="16"/>
      <c r="J39" s="16"/>
      <c r="K39" s="16"/>
      <c r="L39" s="16"/>
      <c r="M39" s="45"/>
      <c r="N39" s="52"/>
      <c r="O39" s="52"/>
      <c r="P39" s="52"/>
      <c r="Q39" s="52"/>
      <c r="R39" s="52"/>
      <c r="S39" s="52"/>
      <c r="T39" s="45"/>
      <c r="U39" s="52"/>
      <c r="V39" s="52"/>
      <c r="W39" s="52"/>
      <c r="X39" s="16"/>
      <c r="Y39" s="16"/>
      <c r="Z39" s="45"/>
      <c r="AA39" s="52"/>
      <c r="AB39" s="52"/>
      <c r="AC39" s="119"/>
      <c r="AD39" s="52"/>
      <c r="AE39" s="52"/>
      <c r="AF39" s="52"/>
      <c r="AG39" s="52"/>
      <c r="AH39" s="52"/>
      <c r="AI39" s="52"/>
      <c r="AJ39" s="13"/>
      <c r="AK39" s="13"/>
      <c r="AL39" s="44"/>
      <c r="AM39" s="16"/>
      <c r="AN39" s="16"/>
      <c r="AO39" s="158"/>
      <c r="AQ39" s="121"/>
      <c r="AS39" s="120"/>
      <c r="BP39" s="4"/>
    </row>
    <row r="40" spans="1:70" ht="16.5" thickBot="1">
      <c r="A40" s="209" t="s">
        <v>891</v>
      </c>
      <c r="B40" s="210"/>
      <c r="C40" s="210"/>
      <c r="D40" s="210"/>
      <c r="E40" s="210"/>
      <c r="F40" s="210"/>
      <c r="G40" s="210"/>
      <c r="H40" s="210"/>
      <c r="I40" s="211"/>
      <c r="J40" s="1717" t="s">
        <v>468</v>
      </c>
      <c r="K40" s="1717"/>
      <c r="L40" s="1717"/>
      <c r="M40" s="1717"/>
      <c r="N40" s="1717"/>
      <c r="O40" s="1717"/>
      <c r="P40" s="212"/>
      <c r="Q40" s="1718" t="s">
        <v>441</v>
      </c>
      <c r="R40" s="1717"/>
      <c r="S40" s="1717"/>
      <c r="T40" s="1717"/>
      <c r="U40" s="1717"/>
      <c r="V40" s="1719"/>
      <c r="Y40" s="1606" t="s">
        <v>400</v>
      </c>
      <c r="Z40" s="1607"/>
      <c r="AA40" s="1607"/>
      <c r="AB40" s="1607" t="s">
        <v>286</v>
      </c>
      <c r="AC40" s="1607"/>
      <c r="AD40" s="1607"/>
      <c r="AE40" s="1607" t="s">
        <v>290</v>
      </c>
      <c r="AF40" s="1607"/>
      <c r="AG40" s="1607"/>
      <c r="AH40" s="1607"/>
      <c r="AI40" s="1607" t="s">
        <v>392</v>
      </c>
      <c r="AJ40" s="1607"/>
      <c r="AK40" s="1607"/>
      <c r="AL40" s="1607"/>
      <c r="AM40" s="1607" t="s">
        <v>892</v>
      </c>
      <c r="AN40" s="1607"/>
      <c r="AO40" s="1723"/>
      <c r="AQ40" s="121"/>
      <c r="BP40" s="4"/>
    </row>
    <row r="41" spans="1:70" ht="14.25">
      <c r="A41" s="1712"/>
      <c r="B41" s="1713"/>
      <c r="C41" s="1713"/>
      <c r="D41" s="1713"/>
      <c r="E41" s="1713"/>
      <c r="F41" s="1713"/>
      <c r="G41" s="1713"/>
      <c r="H41" s="1713"/>
      <c r="I41" s="119"/>
      <c r="J41" s="1714" t="s">
        <v>661</v>
      </c>
      <c r="K41" s="1715"/>
      <c r="L41" s="28"/>
      <c r="M41" s="1714" t="s">
        <v>352</v>
      </c>
      <c r="N41" s="1716"/>
      <c r="O41" s="1715"/>
      <c r="P41" s="28"/>
      <c r="Q41" s="1714" t="s">
        <v>661</v>
      </c>
      <c r="R41" s="1715"/>
      <c r="T41" s="1714" t="s">
        <v>352</v>
      </c>
      <c r="U41" s="1716"/>
      <c r="V41" s="1799"/>
      <c r="Y41" s="1743"/>
      <c r="Z41" s="1557"/>
      <c r="AA41" s="1557"/>
      <c r="AB41" s="1557"/>
      <c r="AC41" s="1557"/>
      <c r="AD41" s="1557"/>
      <c r="AE41" s="1559"/>
      <c r="AF41" s="1557"/>
      <c r="AG41" s="1557"/>
      <c r="AH41" s="1557"/>
      <c r="AI41" s="1555"/>
      <c r="AJ41" s="1556"/>
      <c r="AK41" s="1556"/>
      <c r="AL41" s="1556"/>
      <c r="AM41" s="1557"/>
      <c r="AN41" s="1557"/>
      <c r="AO41" s="1558"/>
      <c r="AQ41" s="121"/>
      <c r="BF41" s="4"/>
      <c r="BQ41" s="4"/>
    </row>
    <row r="42" spans="1:70">
      <c r="A42" s="141" t="s">
        <v>667</v>
      </c>
      <c r="B42" s="159"/>
      <c r="C42" s="159"/>
      <c r="D42" s="159"/>
      <c r="E42" s="159"/>
      <c r="F42" s="159"/>
      <c r="G42" s="159"/>
      <c r="H42" s="119"/>
      <c r="I42" s="119"/>
      <c r="J42" s="1735"/>
      <c r="K42" s="1736"/>
      <c r="L42" s="119"/>
      <c r="M42" s="1735"/>
      <c r="N42" s="1737"/>
      <c r="O42" s="1736"/>
      <c r="P42" s="16"/>
      <c r="Q42" s="1735"/>
      <c r="R42" s="1736"/>
      <c r="S42" s="16"/>
      <c r="T42" s="1735"/>
      <c r="U42" s="1737"/>
      <c r="V42" s="1738"/>
      <c r="Y42" s="1743"/>
      <c r="Z42" s="1557"/>
      <c r="AA42" s="1557"/>
      <c r="AB42" s="1557"/>
      <c r="AC42" s="1557"/>
      <c r="AD42" s="1557"/>
      <c r="AE42" s="1559"/>
      <c r="AF42" s="1557"/>
      <c r="AG42" s="1557"/>
      <c r="AH42" s="1557"/>
      <c r="AI42" s="1555"/>
      <c r="AJ42" s="1556"/>
      <c r="AK42" s="1556"/>
      <c r="AL42" s="1556"/>
      <c r="AM42" s="1557"/>
      <c r="AN42" s="1557"/>
      <c r="AO42" s="1558"/>
      <c r="AQ42" s="121"/>
      <c r="BF42" s="4"/>
      <c r="BQ42" s="4"/>
    </row>
    <row r="43" spans="1:70">
      <c r="A43" s="141" t="s">
        <v>668</v>
      </c>
      <c r="B43" s="159"/>
      <c r="C43" s="159"/>
      <c r="D43" s="159"/>
      <c r="E43" s="159"/>
      <c r="F43" s="159"/>
      <c r="G43" s="159"/>
      <c r="H43" s="159"/>
      <c r="I43" s="119"/>
      <c r="J43" s="1735"/>
      <c r="K43" s="1736"/>
      <c r="L43" s="119"/>
      <c r="M43" s="1735"/>
      <c r="N43" s="1737"/>
      <c r="O43" s="1736"/>
      <c r="P43" s="16"/>
      <c r="Q43" s="1735"/>
      <c r="R43" s="1736"/>
      <c r="S43" s="16"/>
      <c r="T43" s="1735"/>
      <c r="U43" s="1737"/>
      <c r="V43" s="1738"/>
      <c r="Y43" s="1743"/>
      <c r="Z43" s="1557"/>
      <c r="AA43" s="1557"/>
      <c r="AB43" s="1557"/>
      <c r="AC43" s="1557"/>
      <c r="AD43" s="1557"/>
      <c r="AE43" s="1559"/>
      <c r="AF43" s="1557"/>
      <c r="AG43" s="1557"/>
      <c r="AH43" s="1557"/>
      <c r="AI43" s="1555"/>
      <c r="AJ43" s="1556"/>
      <c r="AK43" s="1556"/>
      <c r="AL43" s="1556"/>
      <c r="AM43" s="1557"/>
      <c r="AN43" s="1557"/>
      <c r="AO43" s="1558"/>
      <c r="AQ43" s="121"/>
      <c r="BO43" s="4"/>
    </row>
    <row r="44" spans="1:70">
      <c r="A44" s="141" t="s">
        <v>669</v>
      </c>
      <c r="B44" s="159"/>
      <c r="C44" s="159"/>
      <c r="D44" s="159"/>
      <c r="E44" s="159"/>
      <c r="F44" s="159"/>
      <c r="G44" s="119"/>
      <c r="H44" s="119"/>
      <c r="I44" s="119"/>
      <c r="J44" s="1735"/>
      <c r="K44" s="1736"/>
      <c r="L44" s="119"/>
      <c r="M44" s="1735"/>
      <c r="N44" s="1737"/>
      <c r="O44" s="1736"/>
      <c r="P44" s="16"/>
      <c r="Q44" s="1735"/>
      <c r="R44" s="1736"/>
      <c r="S44" s="16"/>
      <c r="T44" s="1735"/>
      <c r="U44" s="1737"/>
      <c r="V44" s="1738"/>
      <c r="Y44" s="1743"/>
      <c r="Z44" s="1557"/>
      <c r="AA44" s="1557"/>
      <c r="AB44" s="1557"/>
      <c r="AC44" s="1557"/>
      <c r="AD44" s="1557"/>
      <c r="AE44" s="1559"/>
      <c r="AF44" s="1557"/>
      <c r="AG44" s="1557"/>
      <c r="AH44" s="1557"/>
      <c r="AI44" s="1555"/>
      <c r="AJ44" s="1556"/>
      <c r="AK44" s="1556"/>
      <c r="AL44" s="1556"/>
      <c r="AM44" s="1557"/>
      <c r="AN44" s="1557"/>
      <c r="AO44" s="1558"/>
      <c r="AQ44" s="121"/>
      <c r="AW44" s="18"/>
      <c r="AX44" s="18"/>
      <c r="AY44" s="18"/>
      <c r="BH44" s="6"/>
      <c r="BI44" s="6"/>
      <c r="BJ44" s="6"/>
      <c r="BK44" s="6"/>
      <c r="BL44" s="6"/>
      <c r="BM44" s="6"/>
      <c r="BN44" s="6"/>
      <c r="BO44" s="5"/>
    </row>
    <row r="45" spans="1:70">
      <c r="A45" s="141" t="s">
        <v>670</v>
      </c>
      <c r="B45" s="159"/>
      <c r="C45" s="159"/>
      <c r="D45" s="159"/>
      <c r="E45" s="159"/>
      <c r="F45" s="159"/>
      <c r="G45" s="119"/>
      <c r="H45" s="119"/>
      <c r="I45" s="119"/>
      <c r="J45" s="1735"/>
      <c r="K45" s="1736"/>
      <c r="L45" s="119"/>
      <c r="M45" s="1735"/>
      <c r="N45" s="1737"/>
      <c r="O45" s="1736"/>
      <c r="P45" s="16"/>
      <c r="Q45" s="1735"/>
      <c r="R45" s="1736"/>
      <c r="S45" s="16"/>
      <c r="T45" s="1735"/>
      <c r="U45" s="1737"/>
      <c r="V45" s="1738"/>
      <c r="Y45" s="1743"/>
      <c r="Z45" s="1557"/>
      <c r="AA45" s="1557"/>
      <c r="AB45" s="1557"/>
      <c r="AC45" s="1557"/>
      <c r="AD45" s="1557"/>
      <c r="AE45" s="1559"/>
      <c r="AF45" s="1557"/>
      <c r="AG45" s="1557"/>
      <c r="AH45" s="1557"/>
      <c r="AI45" s="1555"/>
      <c r="AJ45" s="1556"/>
      <c r="AK45" s="1556"/>
      <c r="AL45" s="1556"/>
      <c r="AM45" s="1557"/>
      <c r="AN45" s="1557"/>
      <c r="AO45" s="1558"/>
    </row>
    <row r="46" spans="1:70">
      <c r="A46" s="141" t="s">
        <v>671</v>
      </c>
      <c r="B46" s="159"/>
      <c r="C46" s="159"/>
      <c r="D46" s="159"/>
      <c r="E46" s="159"/>
      <c r="F46" s="159"/>
      <c r="G46" s="159"/>
      <c r="H46" s="78"/>
      <c r="I46" s="78"/>
      <c r="J46" s="1740"/>
      <c r="K46" s="1741"/>
      <c r="L46" s="13"/>
      <c r="M46" s="1735"/>
      <c r="N46" s="1737"/>
      <c r="O46" s="1736"/>
      <c r="Q46" s="1735"/>
      <c r="R46" s="1736"/>
      <c r="T46" s="1735"/>
      <c r="U46" s="1737"/>
      <c r="V46" s="1738"/>
      <c r="Y46" s="1743"/>
      <c r="Z46" s="1557"/>
      <c r="AA46" s="1557"/>
      <c r="AB46" s="1557"/>
      <c r="AC46" s="1557"/>
      <c r="AD46" s="1557"/>
      <c r="AE46" s="1559"/>
      <c r="AF46" s="1557"/>
      <c r="AG46" s="1557"/>
      <c r="AH46" s="1557"/>
      <c r="AI46" s="1555"/>
      <c r="AJ46" s="1556"/>
      <c r="AK46" s="1556"/>
      <c r="AL46" s="1556"/>
      <c r="AM46" s="1557"/>
      <c r="AN46" s="1557"/>
      <c r="AO46" s="1558"/>
    </row>
    <row r="47" spans="1:70" s="13" customFormat="1" ht="12.75" customHeight="1">
      <c r="A47" s="141" t="s">
        <v>672</v>
      </c>
      <c r="B47" s="159"/>
      <c r="C47" s="159"/>
      <c r="D47" s="159"/>
      <c r="E47" s="159"/>
      <c r="F47"/>
      <c r="G47"/>
      <c r="H47"/>
      <c r="I47"/>
      <c r="J47" s="1740"/>
      <c r="K47" s="1741"/>
      <c r="M47" s="1735"/>
      <c r="N47" s="1737"/>
      <c r="O47" s="1736"/>
      <c r="P47"/>
      <c r="Q47" s="1735"/>
      <c r="R47" s="1736"/>
      <c r="S47"/>
      <c r="T47" s="1735"/>
      <c r="U47" s="1737"/>
      <c r="V47" s="1738"/>
      <c r="W47"/>
      <c r="X47"/>
      <c r="Y47" s="1743"/>
      <c r="Z47" s="1557"/>
      <c r="AA47" s="1557"/>
      <c r="AB47" s="1557"/>
      <c r="AC47" s="1557"/>
      <c r="AD47" s="1557"/>
      <c r="AE47" s="1559"/>
      <c r="AF47" s="1557"/>
      <c r="AG47" s="1557"/>
      <c r="AH47" s="1557"/>
      <c r="AI47" s="1555"/>
      <c r="AJ47" s="1556"/>
      <c r="AK47" s="1556"/>
      <c r="AL47" s="1556"/>
      <c r="AM47" s="1557"/>
      <c r="AN47" s="1557"/>
      <c r="AO47" s="1558"/>
    </row>
    <row r="48" spans="1:70" ht="15.75" customHeight="1" thickBot="1">
      <c r="A48" s="141" t="s">
        <v>353</v>
      </c>
      <c r="B48" s="159"/>
      <c r="C48" s="159"/>
      <c r="D48" s="159"/>
      <c r="E48" s="159"/>
      <c r="F48" s="159"/>
      <c r="G48" s="159"/>
      <c r="J48" s="1733"/>
      <c r="K48" s="1734"/>
      <c r="L48" s="13"/>
      <c r="M48" s="1730"/>
      <c r="N48" s="1731"/>
      <c r="O48" s="1742"/>
      <c r="Q48" s="1733"/>
      <c r="R48" s="1734"/>
      <c r="T48" s="1730"/>
      <c r="U48" s="1731"/>
      <c r="V48" s="1732"/>
      <c r="Y48" s="1743"/>
      <c r="Z48" s="1557"/>
      <c r="AA48" s="1557"/>
      <c r="AB48" s="1557"/>
      <c r="AC48" s="1557"/>
      <c r="AD48" s="1557"/>
      <c r="AE48" s="1559"/>
      <c r="AF48" s="1557"/>
      <c r="AG48" s="1557"/>
      <c r="AH48" s="1557"/>
      <c r="AI48" s="1555"/>
      <c r="AJ48" s="1556"/>
      <c r="AK48" s="1556"/>
      <c r="AL48" s="1556"/>
      <c r="AM48" s="1557"/>
      <c r="AN48" s="1557"/>
      <c r="AO48" s="1558"/>
      <c r="AP48" s="13"/>
      <c r="AQ48" s="13"/>
    </row>
    <row r="49" spans="1:54" ht="12.75" customHeight="1" thickBot="1">
      <c r="A49" s="213"/>
      <c r="B49" s="214"/>
      <c r="C49" s="214"/>
      <c r="D49" s="214"/>
      <c r="E49" s="214"/>
      <c r="F49" s="214"/>
      <c r="G49" s="214"/>
      <c r="H49" s="214"/>
      <c r="I49" s="215" t="s">
        <v>354</v>
      </c>
      <c r="J49" s="1725">
        <f>SUM(J42:J47)</f>
        <v>0</v>
      </c>
      <c r="K49" s="1726"/>
      <c r="L49" s="216"/>
      <c r="M49" s="1727">
        <f>SUM(M42:N48)</f>
        <v>0</v>
      </c>
      <c r="N49" s="1728"/>
      <c r="O49" s="1729"/>
      <c r="P49" s="19"/>
      <c r="Q49" s="1727">
        <f>SUM(Q42:R47)</f>
        <v>0</v>
      </c>
      <c r="R49" s="1729"/>
      <c r="S49" s="19"/>
      <c r="T49" s="1727">
        <f>SUM(T42:U48)</f>
        <v>0</v>
      </c>
      <c r="U49" s="1728"/>
      <c r="V49" s="1729"/>
      <c r="Y49" s="1743"/>
      <c r="Z49" s="1557"/>
      <c r="AA49" s="1557"/>
      <c r="AB49" s="1557"/>
      <c r="AC49" s="1557"/>
      <c r="AD49" s="1557"/>
      <c r="AE49" s="1559"/>
      <c r="AF49" s="1557"/>
      <c r="AG49" s="1557"/>
      <c r="AH49" s="1557"/>
      <c r="AI49" s="1555"/>
      <c r="AJ49" s="1556"/>
      <c r="AK49" s="1556"/>
      <c r="AL49" s="1556"/>
      <c r="AM49" s="1557"/>
      <c r="AN49" s="1557"/>
      <c r="AO49" s="1558"/>
    </row>
    <row r="50" spans="1:54" ht="12.75" customHeight="1" thickBot="1">
      <c r="A50" s="162" t="s">
        <v>219</v>
      </c>
      <c r="B50" s="81"/>
      <c r="C50" s="81"/>
      <c r="D50" s="81"/>
      <c r="E50" s="81"/>
      <c r="F50" s="81"/>
      <c r="G50" s="81"/>
      <c r="H50" s="81"/>
      <c r="I50" s="81"/>
      <c r="J50" s="81"/>
      <c r="K50" s="81"/>
      <c r="L50" s="81"/>
      <c r="M50" s="81"/>
      <c r="N50" s="81"/>
      <c r="O50" s="81"/>
      <c r="P50" s="81"/>
      <c r="Q50" s="79"/>
      <c r="R50" s="79"/>
      <c r="S50" s="79"/>
      <c r="T50" s="79"/>
      <c r="U50" s="79"/>
      <c r="V50" s="79"/>
      <c r="W50" s="79"/>
      <c r="X50" s="13"/>
      <c r="Y50" s="1743"/>
      <c r="Z50" s="1557"/>
      <c r="AA50" s="1557"/>
      <c r="AB50" s="1557"/>
      <c r="AC50" s="1557"/>
      <c r="AD50" s="1557"/>
      <c r="AE50" s="1559"/>
      <c r="AF50" s="1557"/>
      <c r="AG50" s="1557"/>
      <c r="AH50" s="1557"/>
      <c r="AI50" s="1555"/>
      <c r="AJ50" s="1556"/>
      <c r="AK50" s="1556"/>
      <c r="AL50" s="1556"/>
      <c r="AM50" s="1557"/>
      <c r="AN50" s="1557"/>
      <c r="AO50" s="1558"/>
      <c r="AW50" s="18"/>
      <c r="AX50" s="18"/>
      <c r="AY50" s="18"/>
      <c r="AZ50" s="18"/>
    </row>
    <row r="51" spans="1:54">
      <c r="A51" s="1790"/>
      <c r="B51" s="1791"/>
      <c r="C51" s="1791"/>
      <c r="D51" s="1791"/>
      <c r="E51" s="1791"/>
      <c r="F51" s="1791"/>
      <c r="G51" s="1791"/>
      <c r="H51" s="1791"/>
      <c r="I51" s="1791"/>
      <c r="J51" s="1791"/>
      <c r="K51" s="1791"/>
      <c r="L51" s="1791"/>
      <c r="M51" s="1791"/>
      <c r="N51" s="1791"/>
      <c r="O51" s="1791"/>
      <c r="P51" s="1791"/>
      <c r="Q51" s="1791"/>
      <c r="R51" s="1791"/>
      <c r="S51" s="1791"/>
      <c r="T51" s="1791"/>
      <c r="U51" s="1791"/>
      <c r="V51" s="1791"/>
      <c r="W51" s="1792"/>
      <c r="X51" s="13"/>
      <c r="Y51" s="1743"/>
      <c r="Z51" s="1557"/>
      <c r="AA51" s="1557"/>
      <c r="AB51" s="1557"/>
      <c r="AC51" s="1557"/>
      <c r="AD51" s="1557"/>
      <c r="AE51" s="1559"/>
      <c r="AF51" s="1557"/>
      <c r="AG51" s="1557"/>
      <c r="AH51" s="1557"/>
      <c r="AI51" s="1555"/>
      <c r="AJ51" s="1556"/>
      <c r="AK51" s="1556"/>
      <c r="AL51" s="1556"/>
      <c r="AM51" s="1557"/>
      <c r="AN51" s="1557"/>
      <c r="AO51" s="1558"/>
      <c r="AW51" s="18"/>
    </row>
    <row r="52" spans="1:54" ht="12.75" customHeight="1" thickBot="1">
      <c r="A52" s="1793"/>
      <c r="B52" s="1794"/>
      <c r="C52" s="1794"/>
      <c r="D52" s="1794"/>
      <c r="E52" s="1794"/>
      <c r="F52" s="1794"/>
      <c r="G52" s="1794"/>
      <c r="H52" s="1794"/>
      <c r="I52" s="1794"/>
      <c r="J52" s="1794"/>
      <c r="K52" s="1794"/>
      <c r="L52" s="1794"/>
      <c r="M52" s="1794"/>
      <c r="N52" s="1794"/>
      <c r="O52" s="1794"/>
      <c r="P52" s="1794"/>
      <c r="Q52" s="1794"/>
      <c r="R52" s="1794"/>
      <c r="S52" s="1794"/>
      <c r="T52" s="1794"/>
      <c r="U52" s="1794"/>
      <c r="V52" s="1794"/>
      <c r="W52" s="1795"/>
      <c r="X52" s="79"/>
      <c r="Y52" s="1743"/>
      <c r="Z52" s="1557"/>
      <c r="AA52" s="1557"/>
      <c r="AB52" s="1557"/>
      <c r="AC52" s="1557"/>
      <c r="AD52" s="1557"/>
      <c r="AE52" s="1559"/>
      <c r="AF52" s="1557"/>
      <c r="AG52" s="1557"/>
      <c r="AH52" s="1557"/>
      <c r="AI52" s="1555"/>
      <c r="AJ52" s="1556"/>
      <c r="AK52" s="1556"/>
      <c r="AL52" s="1556"/>
      <c r="AM52" s="1788"/>
      <c r="AN52" s="1788"/>
      <c r="AO52" s="1789"/>
      <c r="AW52" s="18"/>
    </row>
    <row r="53" spans="1:54" ht="13.5" thickBot="1">
      <c r="A53" s="1793"/>
      <c r="B53" s="1794"/>
      <c r="C53" s="1794"/>
      <c r="D53" s="1794"/>
      <c r="E53" s="1794"/>
      <c r="F53" s="1794"/>
      <c r="G53" s="1794"/>
      <c r="H53" s="1794"/>
      <c r="I53" s="1794"/>
      <c r="J53" s="1794"/>
      <c r="K53" s="1794"/>
      <c r="L53" s="1794"/>
      <c r="M53" s="1794"/>
      <c r="N53" s="1794"/>
      <c r="O53" s="1794"/>
      <c r="P53" s="1794"/>
      <c r="Q53" s="1794"/>
      <c r="R53" s="1794"/>
      <c r="S53" s="1794"/>
      <c r="T53" s="1794"/>
      <c r="U53" s="1794"/>
      <c r="V53" s="1794"/>
      <c r="W53" s="1795"/>
      <c r="X53" s="80"/>
      <c r="Y53" s="218"/>
      <c r="Z53" s="219"/>
      <c r="AA53" s="219"/>
      <c r="AB53" s="219"/>
      <c r="AC53" s="219"/>
      <c r="AD53" s="220"/>
      <c r="AE53" s="220"/>
      <c r="AF53" s="220"/>
      <c r="AG53" s="220"/>
      <c r="AH53" s="220"/>
      <c r="AI53" s="220"/>
      <c r="AJ53" s="221"/>
      <c r="AK53" s="220"/>
      <c r="AL53" s="222" t="s">
        <v>401</v>
      </c>
      <c r="AM53" s="1720">
        <f>SUM(AM41:AO52)</f>
        <v>0</v>
      </c>
      <c r="AN53" s="1721"/>
      <c r="AO53" s="1722"/>
    </row>
    <row r="54" spans="1:54">
      <c r="A54" s="1793"/>
      <c r="B54" s="1794"/>
      <c r="C54" s="1794"/>
      <c r="D54" s="1794"/>
      <c r="E54" s="1794"/>
      <c r="F54" s="1794"/>
      <c r="G54" s="1794"/>
      <c r="H54" s="1794"/>
      <c r="I54" s="1794"/>
      <c r="J54" s="1794"/>
      <c r="K54" s="1794"/>
      <c r="L54" s="1794"/>
      <c r="M54" s="1794"/>
      <c r="N54" s="1794"/>
      <c r="O54" s="1794"/>
      <c r="P54" s="1794"/>
      <c r="Q54" s="1794"/>
      <c r="R54" s="1794"/>
      <c r="S54" s="1794"/>
      <c r="T54" s="1794"/>
      <c r="U54" s="1794"/>
      <c r="V54" s="1794"/>
      <c r="W54" s="1795"/>
      <c r="X54" s="13"/>
      <c r="Y54" s="81"/>
      <c r="Z54" s="81"/>
      <c r="AA54" s="81"/>
      <c r="AB54" s="81"/>
      <c r="AC54" s="81"/>
      <c r="AD54" s="13"/>
      <c r="AE54" s="13"/>
      <c r="AF54" s="13"/>
      <c r="AG54" s="13"/>
      <c r="AH54" s="13"/>
      <c r="AI54" s="13"/>
      <c r="AJ54" s="13"/>
      <c r="AK54" s="13"/>
      <c r="AL54" s="13"/>
      <c r="AM54" s="13"/>
      <c r="AN54" s="13"/>
      <c r="AO54" s="11"/>
    </row>
    <row r="55" spans="1:54" ht="12.75" customHeight="1">
      <c r="A55" s="1793"/>
      <c r="B55" s="1794"/>
      <c r="C55" s="1794"/>
      <c r="D55" s="1794"/>
      <c r="E55" s="1794"/>
      <c r="F55" s="1794"/>
      <c r="G55" s="1794"/>
      <c r="H55" s="1794"/>
      <c r="I55" s="1794"/>
      <c r="J55" s="1794"/>
      <c r="K55" s="1794"/>
      <c r="L55" s="1794"/>
      <c r="M55" s="1794"/>
      <c r="N55" s="1794"/>
      <c r="O55" s="1794"/>
      <c r="P55" s="1794"/>
      <c r="Q55" s="1794"/>
      <c r="R55" s="1794"/>
      <c r="S55" s="1794"/>
      <c r="T55" s="1794"/>
      <c r="U55" s="1794"/>
      <c r="V55" s="1794"/>
      <c r="W55" s="1795"/>
      <c r="X55" s="13"/>
      <c r="Y55" s="81"/>
      <c r="Z55" s="81"/>
      <c r="AA55" s="81"/>
      <c r="AB55" s="81"/>
      <c r="AC55" s="81"/>
      <c r="AD55" s="13"/>
      <c r="AE55" s="13"/>
      <c r="AF55" s="13"/>
      <c r="AG55" s="13"/>
      <c r="AH55" s="13"/>
      <c r="AI55" s="13"/>
      <c r="AJ55" s="13"/>
      <c r="AK55" s="13"/>
      <c r="AL55" s="13"/>
      <c r="AM55" s="13"/>
      <c r="AN55" s="13"/>
      <c r="AO55" s="11"/>
    </row>
    <row r="56" spans="1:54" ht="9.75" customHeight="1">
      <c r="A56" s="1793"/>
      <c r="B56" s="1794"/>
      <c r="C56" s="1794"/>
      <c r="D56" s="1794"/>
      <c r="E56" s="1794"/>
      <c r="F56" s="1794"/>
      <c r="G56" s="1794"/>
      <c r="H56" s="1794"/>
      <c r="I56" s="1794"/>
      <c r="J56" s="1794"/>
      <c r="K56" s="1794"/>
      <c r="L56" s="1794"/>
      <c r="M56" s="1794"/>
      <c r="N56" s="1794"/>
      <c r="O56" s="1794"/>
      <c r="P56" s="1794"/>
      <c r="Q56" s="1794"/>
      <c r="R56" s="1794"/>
      <c r="S56" s="1794"/>
      <c r="T56" s="1794"/>
      <c r="U56" s="1794"/>
      <c r="V56" s="1794"/>
      <c r="W56" s="1795"/>
      <c r="X56" s="13"/>
      <c r="Y56" s="81"/>
      <c r="Z56" s="81"/>
      <c r="AA56" s="81"/>
      <c r="AB56" s="81"/>
      <c r="AC56" s="81"/>
      <c r="AD56" s="81"/>
      <c r="AE56" s="13"/>
      <c r="AG56" s="13"/>
      <c r="AH56" s="13"/>
      <c r="AI56" s="13"/>
      <c r="AJ56" s="13"/>
      <c r="AK56" s="13"/>
      <c r="AL56" s="13"/>
      <c r="AM56" s="13"/>
      <c r="AN56" s="13"/>
      <c r="AO56" s="11"/>
    </row>
    <row r="57" spans="1:54" ht="13.5" customHeight="1">
      <c r="A57" s="1793"/>
      <c r="B57" s="1794"/>
      <c r="C57" s="1794"/>
      <c r="D57" s="1794"/>
      <c r="E57" s="1794"/>
      <c r="F57" s="1794"/>
      <c r="G57" s="1794"/>
      <c r="H57" s="1794"/>
      <c r="I57" s="1794"/>
      <c r="J57" s="1794"/>
      <c r="K57" s="1794"/>
      <c r="L57" s="1794"/>
      <c r="M57" s="1794"/>
      <c r="N57" s="1794"/>
      <c r="O57" s="1794"/>
      <c r="P57" s="1794"/>
      <c r="Q57" s="1794"/>
      <c r="R57" s="1794"/>
      <c r="S57" s="1794"/>
      <c r="T57" s="1794"/>
      <c r="U57" s="1794"/>
      <c r="V57" s="1794"/>
      <c r="W57" s="1795"/>
      <c r="X57" s="69"/>
      <c r="Y57" s="81"/>
      <c r="Z57" s="81"/>
      <c r="AA57" s="81"/>
      <c r="AB57" s="81"/>
      <c r="AC57" s="81"/>
      <c r="AD57" s="81"/>
      <c r="AE57" s="13"/>
      <c r="AF57" s="13"/>
      <c r="AG57" s="13"/>
      <c r="AH57" s="13"/>
      <c r="AI57" s="13"/>
      <c r="AJ57" s="13"/>
      <c r="AK57" s="13"/>
      <c r="AL57" s="13"/>
      <c r="AM57" s="13"/>
      <c r="AN57" s="13"/>
      <c r="AO57" s="11"/>
      <c r="BB57" s="123"/>
    </row>
    <row r="58" spans="1:54" ht="12.75" customHeight="1" thickBot="1">
      <c r="A58" s="1796"/>
      <c r="B58" s="1797"/>
      <c r="C58" s="1797"/>
      <c r="D58" s="1797"/>
      <c r="E58" s="1797"/>
      <c r="F58" s="1797"/>
      <c r="G58" s="1797"/>
      <c r="H58" s="1797"/>
      <c r="I58" s="1797"/>
      <c r="J58" s="1797"/>
      <c r="K58" s="1797"/>
      <c r="L58" s="1797"/>
      <c r="M58" s="1797"/>
      <c r="N58" s="1797"/>
      <c r="O58" s="1797"/>
      <c r="P58" s="1797"/>
      <c r="Q58" s="1797"/>
      <c r="R58" s="1797"/>
      <c r="S58" s="1797"/>
      <c r="T58" s="1797"/>
      <c r="U58" s="1797"/>
      <c r="V58" s="1797"/>
      <c r="W58" s="1798"/>
      <c r="X58" s="122"/>
      <c r="Y58" s="81"/>
      <c r="Z58" s="81"/>
      <c r="AA58" s="81"/>
      <c r="AB58" s="81"/>
      <c r="AC58" s="81"/>
      <c r="AD58" s="82"/>
      <c r="AE58" s="13"/>
      <c r="AF58" s="13"/>
      <c r="AG58" s="13"/>
      <c r="AH58" s="13"/>
      <c r="AI58" s="13"/>
      <c r="AJ58" s="13"/>
      <c r="AK58" s="13"/>
      <c r="AL58" s="13"/>
      <c r="AM58" s="13"/>
      <c r="AN58" s="13"/>
      <c r="AO58" s="11"/>
      <c r="BB58" s="123"/>
    </row>
    <row r="59" spans="1:54" ht="11.25" customHeight="1" thickBot="1">
      <c r="A59" s="10"/>
      <c r="X59" s="122"/>
      <c r="Y59" s="81"/>
      <c r="Z59" s="81"/>
      <c r="AA59" s="81"/>
      <c r="AB59" s="81"/>
      <c r="AC59" s="81"/>
      <c r="AD59" s="82"/>
      <c r="AE59" s="13"/>
      <c r="AF59" s="13"/>
      <c r="AG59" s="13"/>
      <c r="AH59" s="13"/>
      <c r="AI59" s="13"/>
      <c r="AJ59" s="13"/>
      <c r="AK59" s="76" t="str">
        <f>'General '!AI11</f>
        <v>UA Version 5/8/19</v>
      </c>
      <c r="AL59" s="13"/>
      <c r="AM59" s="13"/>
      <c r="AN59" s="13"/>
      <c r="AO59" s="11"/>
      <c r="BB59" s="123"/>
    </row>
    <row r="60" spans="1:54" ht="14.25" customHeight="1" thickBot="1">
      <c r="A60" s="137" t="s">
        <v>245</v>
      </c>
      <c r="B60" s="138"/>
      <c r="C60" s="138"/>
      <c r="D60" s="138"/>
      <c r="E60" s="138"/>
      <c r="F60" s="138"/>
      <c r="G60" s="138"/>
      <c r="H60" s="138"/>
      <c r="I60" s="138"/>
      <c r="J60" s="138"/>
      <c r="K60" s="138"/>
      <c r="L60" s="138"/>
      <c r="M60" s="138"/>
      <c r="N60" s="188"/>
      <c r="O60" s="138"/>
      <c r="P60" s="138"/>
      <c r="Q60" s="138"/>
      <c r="R60" s="138"/>
      <c r="S60" s="138"/>
      <c r="T60" s="138"/>
      <c r="U60" s="138"/>
      <c r="V60" s="138"/>
      <c r="W60" s="138"/>
      <c r="X60" s="138"/>
      <c r="Y60" s="138"/>
      <c r="Z60" s="138"/>
      <c r="AA60" s="138"/>
      <c r="AB60" s="138"/>
      <c r="AC60" s="1589"/>
      <c r="AD60" s="1750"/>
      <c r="AE60" s="1750"/>
      <c r="AF60" s="1750"/>
      <c r="AG60" s="1750"/>
      <c r="AH60" s="1750"/>
      <c r="AI60" s="1750"/>
      <c r="AJ60" s="1750"/>
      <c r="AK60" s="1750"/>
      <c r="AL60" s="1750"/>
      <c r="AM60" s="1750"/>
      <c r="AN60" s="1750"/>
      <c r="AO60" s="1751"/>
      <c r="AS60" s="9"/>
      <c r="BB60" s="123"/>
    </row>
    <row r="61" spans="1:54" ht="12" customHeight="1">
      <c r="A61" s="1744" t="s">
        <v>275</v>
      </c>
      <c r="B61" s="1745"/>
      <c r="C61" s="1745"/>
      <c r="D61" s="1745"/>
      <c r="E61" s="1745"/>
      <c r="F61" s="1745"/>
      <c r="G61" s="1745"/>
      <c r="H61" s="1745"/>
      <c r="I61" s="1745"/>
      <c r="J61" s="1745"/>
      <c r="K61" s="1745"/>
      <c r="L61" s="1745"/>
      <c r="M61" s="1746"/>
      <c r="N61" s="557"/>
      <c r="O61" s="1747" t="s">
        <v>276</v>
      </c>
      <c r="P61" s="1748"/>
      <c r="Q61" s="1748"/>
      <c r="R61" s="1748"/>
      <c r="S61" s="1748"/>
      <c r="T61" s="1748"/>
      <c r="U61" s="1748"/>
      <c r="V61" s="1749"/>
      <c r="W61" s="560"/>
      <c r="X61" s="1744" t="s">
        <v>674</v>
      </c>
      <c r="Y61" s="1745"/>
      <c r="Z61" s="1745"/>
      <c r="AA61" s="1745"/>
      <c r="AB61" s="1745"/>
      <c r="AC61" s="1745"/>
      <c r="AD61" s="1745"/>
      <c r="AE61" s="1746"/>
      <c r="AF61" s="557"/>
      <c r="AG61" s="1744" t="s">
        <v>888</v>
      </c>
      <c r="AH61" s="1752"/>
      <c r="AI61" s="1752"/>
      <c r="AJ61" s="1752"/>
      <c r="AK61" s="1752"/>
      <c r="AL61" s="1752"/>
      <c r="AM61" s="1752"/>
      <c r="AN61" s="1752"/>
      <c r="AO61" s="1753"/>
      <c r="AS61" s="124"/>
      <c r="BB61" s="123"/>
    </row>
    <row r="62" spans="1:54" ht="14.25" customHeight="1">
      <c r="A62" s="628"/>
      <c r="B62" s="1" t="s">
        <v>677</v>
      </c>
      <c r="C62" s="1"/>
      <c r="D62" s="1"/>
      <c r="E62" s="1"/>
      <c r="F62" s="1"/>
      <c r="H62" s="94"/>
      <c r="I62" s="1538" t="s">
        <v>678</v>
      </c>
      <c r="J62" s="1538"/>
      <c r="K62" s="1538"/>
      <c r="L62" s="1538"/>
      <c r="M62" s="1539"/>
      <c r="N62" s="558"/>
      <c r="O62" s="143"/>
      <c r="P62" t="s">
        <v>279</v>
      </c>
      <c r="T62" s="1739"/>
      <c r="U62" s="1739"/>
      <c r="V62" s="11"/>
      <c r="W62" s="560"/>
      <c r="X62" s="143"/>
      <c r="Y62" t="s">
        <v>679</v>
      </c>
      <c r="AE62" s="11"/>
      <c r="AF62" s="558"/>
      <c r="AG62" s="1765"/>
      <c r="AH62" s="1766"/>
      <c r="AI62" s="1766"/>
      <c r="AJ62" s="1766"/>
      <c r="AK62" s="1766"/>
      <c r="AL62" s="1766"/>
      <c r="AM62" s="1766"/>
      <c r="AN62" s="1766"/>
      <c r="AO62" s="1767"/>
      <c r="AS62" s="124"/>
      <c r="BB62" s="123"/>
    </row>
    <row r="63" spans="1:54" ht="14.25" customHeight="1">
      <c r="A63" s="628"/>
      <c r="B63" t="s">
        <v>682</v>
      </c>
      <c r="H63" s="94"/>
      <c r="I63" t="s">
        <v>683</v>
      </c>
      <c r="M63" s="11"/>
      <c r="N63" s="558"/>
      <c r="O63" s="143"/>
      <c r="P63" t="s">
        <v>280</v>
      </c>
      <c r="T63" s="1739"/>
      <c r="U63" s="1739"/>
      <c r="V63" s="11"/>
      <c r="W63" s="560"/>
      <c r="X63" s="143"/>
      <c r="Y63" t="s">
        <v>277</v>
      </c>
      <c r="AE63" s="11"/>
      <c r="AF63" s="558"/>
      <c r="AG63" s="1768"/>
      <c r="AH63" s="1769"/>
      <c r="AI63" s="1769"/>
      <c r="AJ63" s="1769"/>
      <c r="AK63" s="1769"/>
      <c r="AL63" s="1769"/>
      <c r="AM63" s="1769"/>
      <c r="AN63" s="1769"/>
      <c r="AO63" s="1770"/>
      <c r="BB63" s="123"/>
    </row>
    <row r="64" spans="1:54" ht="14.25" customHeight="1">
      <c r="A64" s="628"/>
      <c r="B64" t="s">
        <v>686</v>
      </c>
      <c r="H64" s="94"/>
      <c r="I64" t="s">
        <v>687</v>
      </c>
      <c r="M64" s="11"/>
      <c r="N64" s="558"/>
      <c r="O64" s="10"/>
      <c r="P64" s="1764" t="s">
        <v>688</v>
      </c>
      <c r="Q64" s="1764"/>
      <c r="R64" s="1764"/>
      <c r="S64" s="1764"/>
      <c r="T64" s="1739"/>
      <c r="U64" s="1739"/>
      <c r="V64" s="11"/>
      <c r="W64" s="560"/>
      <c r="X64" s="143"/>
      <c r="Y64" t="s">
        <v>694</v>
      </c>
      <c r="AA64" s="14"/>
      <c r="AB64" s="14"/>
      <c r="AC64" s="14"/>
      <c r="AD64" s="14"/>
      <c r="AE64" s="11"/>
      <c r="AF64" s="558"/>
      <c r="AG64" s="1768"/>
      <c r="AH64" s="1769"/>
      <c r="AI64" s="1769"/>
      <c r="AJ64" s="1769"/>
      <c r="AK64" s="1769"/>
      <c r="AL64" s="1769"/>
      <c r="AM64" s="1769"/>
      <c r="AN64" s="1769"/>
      <c r="AO64" s="1770"/>
      <c r="AV64" s="1754"/>
      <c r="BB64" s="123"/>
    </row>
    <row r="65" spans="1:55" ht="14.25" customHeight="1">
      <c r="A65" s="628"/>
      <c r="B65" t="s">
        <v>691</v>
      </c>
      <c r="H65" s="94"/>
      <c r="I65" s="1282" t="s">
        <v>692</v>
      </c>
      <c r="J65" s="1282"/>
      <c r="K65" s="1282"/>
      <c r="L65" s="1282"/>
      <c r="M65" s="1756"/>
      <c r="N65" s="558"/>
      <c r="O65" s="10"/>
      <c r="P65" s="1764" t="s">
        <v>693</v>
      </c>
      <c r="Q65" s="1764"/>
      <c r="R65" s="1764"/>
      <c r="S65" s="1764"/>
      <c r="T65" s="1739"/>
      <c r="U65" s="1739"/>
      <c r="V65" s="11"/>
      <c r="W65" s="560"/>
      <c r="X65" s="10"/>
      <c r="AE65" s="11"/>
      <c r="AF65" s="558"/>
      <c r="AG65" s="1768"/>
      <c r="AH65" s="1769"/>
      <c r="AI65" s="1769"/>
      <c r="AJ65" s="1769"/>
      <c r="AK65" s="1769"/>
      <c r="AL65" s="1769"/>
      <c r="AM65" s="1769"/>
      <c r="AN65" s="1769"/>
      <c r="AO65" s="1770"/>
      <c r="AP65" s="13"/>
      <c r="AU65" s="124"/>
      <c r="AV65" s="1755"/>
      <c r="BC65" s="123"/>
    </row>
    <row r="66" spans="1:55" ht="14.25" customHeight="1">
      <c r="A66" s="628"/>
      <c r="B66" t="s">
        <v>696</v>
      </c>
      <c r="H66" s="94"/>
      <c r="I66" s="1282" t="s">
        <v>697</v>
      </c>
      <c r="J66" s="1282"/>
      <c r="K66" s="1282"/>
      <c r="L66" s="1282"/>
      <c r="M66" s="1756"/>
      <c r="N66" s="558"/>
      <c r="O66" s="143"/>
      <c r="P66" t="s">
        <v>698</v>
      </c>
      <c r="V66" s="11"/>
      <c r="W66" s="560"/>
      <c r="X66" s="10"/>
      <c r="Z66" s="1763"/>
      <c r="AA66" s="1763"/>
      <c r="AB66" s="1763"/>
      <c r="AC66" s="1763"/>
      <c r="AD66" s="1763"/>
      <c r="AE66" s="11"/>
      <c r="AF66" s="558"/>
      <c r="AG66" s="1768"/>
      <c r="AH66" s="1769"/>
      <c r="AI66" s="1769"/>
      <c r="AJ66" s="1769"/>
      <c r="AK66" s="1769"/>
      <c r="AL66" s="1769"/>
      <c r="AM66" s="1769"/>
      <c r="AN66" s="1769"/>
      <c r="AO66" s="1770"/>
      <c r="AU66" s="124"/>
      <c r="BC66" s="123"/>
    </row>
    <row r="67" spans="1:55" ht="14.25" customHeight="1">
      <c r="A67" s="628"/>
      <c r="B67" t="s">
        <v>699</v>
      </c>
      <c r="H67" s="94"/>
      <c r="I67" s="1282" t="s">
        <v>700</v>
      </c>
      <c r="J67" s="1282"/>
      <c r="K67" s="1282"/>
      <c r="L67" s="1282"/>
      <c r="M67" s="1756"/>
      <c r="N67" s="558"/>
      <c r="O67" s="143"/>
      <c r="P67" t="s">
        <v>701</v>
      </c>
      <c r="V67" s="11"/>
      <c r="W67" s="560"/>
      <c r="X67" s="10"/>
      <c r="Z67" s="78"/>
      <c r="AA67" s="78"/>
      <c r="AB67" s="78"/>
      <c r="AC67" s="78"/>
      <c r="AD67" s="78"/>
      <c r="AE67" s="11"/>
      <c r="AF67" s="558"/>
      <c r="AG67" s="1768"/>
      <c r="AH67" s="1769"/>
      <c r="AI67" s="1769"/>
      <c r="AJ67" s="1769"/>
      <c r="AK67" s="1769"/>
      <c r="AL67" s="1769"/>
      <c r="AM67" s="1769"/>
      <c r="AN67" s="1769"/>
      <c r="AO67" s="1770"/>
      <c r="AY67" s="124"/>
      <c r="BC67" s="123"/>
    </row>
    <row r="68" spans="1:55" ht="14.25" customHeight="1">
      <c r="A68" s="628"/>
      <c r="B68" t="s">
        <v>703</v>
      </c>
      <c r="H68" s="94"/>
      <c r="I68" s="1282" t="s">
        <v>704</v>
      </c>
      <c r="J68" s="1282"/>
      <c r="K68" s="1282"/>
      <c r="L68" s="1282"/>
      <c r="M68" s="1756"/>
      <c r="N68" s="558"/>
      <c r="O68" s="143"/>
      <c r="P68" t="s">
        <v>705</v>
      </c>
      <c r="V68" s="11"/>
      <c r="W68" s="560"/>
      <c r="X68" s="10"/>
      <c r="Z68" s="1763"/>
      <c r="AA68" s="1763"/>
      <c r="AB68" s="1763"/>
      <c r="AC68" s="1763"/>
      <c r="AD68" s="1763"/>
      <c r="AE68" s="11"/>
      <c r="AF68" s="558"/>
      <c r="AG68" s="1768"/>
      <c r="AH68" s="1769"/>
      <c r="AI68" s="1769"/>
      <c r="AJ68" s="1769"/>
      <c r="AK68" s="1769"/>
      <c r="AL68" s="1769"/>
      <c r="AM68" s="1769"/>
      <c r="AN68" s="1769"/>
      <c r="AO68" s="1770"/>
      <c r="AY68" s="124"/>
      <c r="BC68" s="123"/>
    </row>
    <row r="69" spans="1:55" ht="14.25" customHeight="1">
      <c r="A69" s="628"/>
      <c r="B69" t="s">
        <v>706</v>
      </c>
      <c r="H69" s="94"/>
      <c r="I69" s="1282" t="s">
        <v>707</v>
      </c>
      <c r="J69" s="1282"/>
      <c r="K69" s="1282"/>
      <c r="L69" s="1282"/>
      <c r="M69" s="1756"/>
      <c r="N69" s="558"/>
      <c r="O69" s="143"/>
      <c r="P69" s="82" t="s">
        <v>708</v>
      </c>
      <c r="Q69" s="74"/>
      <c r="R69" s="74"/>
      <c r="S69" s="74"/>
      <c r="T69" s="74"/>
      <c r="U69" s="74"/>
      <c r="V69" s="11"/>
      <c r="W69" s="560"/>
      <c r="X69" s="10"/>
      <c r="AE69" s="11"/>
      <c r="AF69" s="558"/>
      <c r="AG69" s="1768"/>
      <c r="AH69" s="1769"/>
      <c r="AI69" s="1769"/>
      <c r="AJ69" s="1769"/>
      <c r="AK69" s="1769"/>
      <c r="AL69" s="1769"/>
      <c r="AM69" s="1769"/>
      <c r="AN69" s="1769"/>
      <c r="AO69" s="1770"/>
      <c r="BC69" s="123"/>
    </row>
    <row r="70" spans="1:55" ht="14.25" customHeight="1">
      <c r="A70" s="143" t="s">
        <v>434</v>
      </c>
      <c r="B70" s="1757" t="s">
        <v>434</v>
      </c>
      <c r="C70" s="1758"/>
      <c r="D70" s="1758"/>
      <c r="E70" s="1758"/>
      <c r="F70" s="1759"/>
      <c r="H70" s="94"/>
      <c r="I70" s="1282" t="s">
        <v>709</v>
      </c>
      <c r="J70" s="1282"/>
      <c r="K70" s="1282"/>
      <c r="L70" s="1282"/>
      <c r="M70" s="1756"/>
      <c r="N70" s="558"/>
      <c r="O70" s="143"/>
      <c r="P70" t="s">
        <v>710</v>
      </c>
      <c r="V70" s="11"/>
      <c r="W70" s="560"/>
      <c r="X70" s="1760" t="s">
        <v>1</v>
      </c>
      <c r="Y70" s="1761"/>
      <c r="Z70" s="1761"/>
      <c r="AA70" s="1761"/>
      <c r="AB70" s="1761"/>
      <c r="AC70" s="1761"/>
      <c r="AD70" s="1761"/>
      <c r="AE70" s="1762"/>
      <c r="AF70" s="558"/>
      <c r="AG70" s="1768"/>
      <c r="AH70" s="1769"/>
      <c r="AI70" s="1769"/>
      <c r="AJ70" s="1769"/>
      <c r="AK70" s="1769"/>
      <c r="AL70" s="1769"/>
      <c r="AM70" s="1769"/>
      <c r="AN70" s="1769"/>
      <c r="AO70" s="1770"/>
      <c r="AY70" s="44"/>
      <c r="AZ70" s="44"/>
      <c r="BC70" s="123"/>
    </row>
    <row r="71" spans="1:55" ht="14.25" customHeight="1">
      <c r="A71" s="10"/>
      <c r="B71" t="s">
        <v>434</v>
      </c>
      <c r="I71" s="1282"/>
      <c r="J71" s="1282"/>
      <c r="K71" s="1282"/>
      <c r="L71" s="1282"/>
      <c r="M71" s="1756"/>
      <c r="N71" s="558"/>
      <c r="O71" s="143"/>
      <c r="P71" s="1282" t="s">
        <v>281</v>
      </c>
      <c r="Q71" s="1282"/>
      <c r="R71" s="1282"/>
      <c r="S71" s="1282"/>
      <c r="T71" s="1282"/>
      <c r="U71" s="1282"/>
      <c r="V71" s="11"/>
      <c r="W71" s="560"/>
      <c r="X71" s="1760"/>
      <c r="Y71" s="1761"/>
      <c r="Z71" s="1761"/>
      <c r="AA71" s="1761"/>
      <c r="AB71" s="1761"/>
      <c r="AC71" s="1761"/>
      <c r="AD71" s="1761"/>
      <c r="AE71" s="1762"/>
      <c r="AF71" s="558"/>
      <c r="AG71" s="1768"/>
      <c r="AH71" s="1769"/>
      <c r="AI71" s="1769"/>
      <c r="AJ71" s="1769"/>
      <c r="AK71" s="1769"/>
      <c r="AL71" s="1769"/>
      <c r="AM71" s="1769"/>
      <c r="AN71" s="1769"/>
      <c r="AO71" s="1770"/>
      <c r="AU71" s="13"/>
    </row>
    <row r="72" spans="1:55" ht="14.25" customHeight="1">
      <c r="A72" s="628"/>
      <c r="B72" t="s">
        <v>399</v>
      </c>
      <c r="M72" s="11"/>
      <c r="N72" s="558"/>
      <c r="O72" s="143"/>
      <c r="P72" t="s">
        <v>271</v>
      </c>
      <c r="V72" s="11"/>
      <c r="W72" s="560"/>
      <c r="X72" s="1760"/>
      <c r="Y72" s="1761"/>
      <c r="Z72" s="1761"/>
      <c r="AA72" s="1761"/>
      <c r="AB72" s="1761"/>
      <c r="AC72" s="1761"/>
      <c r="AD72" s="1761"/>
      <c r="AE72" s="1762"/>
      <c r="AF72" s="558"/>
      <c r="AG72" s="1768"/>
      <c r="AH72" s="1769"/>
      <c r="AI72" s="1769"/>
      <c r="AJ72" s="1769"/>
      <c r="AK72" s="1769"/>
      <c r="AL72" s="1769"/>
      <c r="AM72" s="1769"/>
      <c r="AN72" s="1769"/>
      <c r="AO72" s="1770"/>
    </row>
    <row r="73" spans="1:55" ht="14.25" customHeight="1">
      <c r="A73" s="143"/>
      <c r="B73" s="1774"/>
      <c r="C73" s="1775"/>
      <c r="D73" s="1775"/>
      <c r="E73" s="1775"/>
      <c r="F73" s="1775"/>
      <c r="G73" s="1775"/>
      <c r="H73" s="1775"/>
      <c r="I73" s="1775"/>
      <c r="J73" s="1775"/>
      <c r="K73" s="1775"/>
      <c r="L73" s="1776"/>
      <c r="M73" s="11"/>
      <c r="N73" s="558"/>
      <c r="O73" s="143"/>
      <c r="P73" t="s">
        <v>711</v>
      </c>
      <c r="T73" s="13" t="s">
        <v>434</v>
      </c>
      <c r="U73" s="13"/>
      <c r="V73" s="11"/>
      <c r="W73" s="560"/>
      <c r="X73" s="1783"/>
      <c r="Y73" s="1778"/>
      <c r="Z73" s="1778"/>
      <c r="AA73" s="1778"/>
      <c r="AB73" s="1778"/>
      <c r="AC73" s="1778"/>
      <c r="AD73" s="1778"/>
      <c r="AE73" s="1784"/>
      <c r="AF73" s="558"/>
      <c r="AG73" s="1768"/>
      <c r="AH73" s="1769"/>
      <c r="AI73" s="1769"/>
      <c r="AJ73" s="1769"/>
      <c r="AK73" s="1769"/>
      <c r="AL73" s="1769"/>
      <c r="AM73" s="1769"/>
      <c r="AN73" s="1769"/>
      <c r="AO73" s="1770"/>
    </row>
    <row r="74" spans="1:55" ht="12.75" customHeight="1">
      <c r="A74" s="10"/>
      <c r="B74" s="1777"/>
      <c r="C74" s="1778"/>
      <c r="D74" s="1778"/>
      <c r="E74" s="1778"/>
      <c r="F74" s="1778"/>
      <c r="G74" s="1778"/>
      <c r="H74" s="1778"/>
      <c r="I74" s="1778"/>
      <c r="J74" s="1778"/>
      <c r="K74" s="1778"/>
      <c r="L74" s="1779"/>
      <c r="M74" s="11"/>
      <c r="N74" s="558"/>
      <c r="O74" s="143"/>
      <c r="P74" t="s">
        <v>712</v>
      </c>
      <c r="T74" s="13" t="s">
        <v>434</v>
      </c>
      <c r="U74" s="13"/>
      <c r="V74" s="11"/>
      <c r="W74" s="560"/>
      <c r="X74" s="1783"/>
      <c r="Y74" s="1778"/>
      <c r="Z74" s="1778"/>
      <c r="AA74" s="1778"/>
      <c r="AB74" s="1778"/>
      <c r="AC74" s="1778"/>
      <c r="AD74" s="1778"/>
      <c r="AE74" s="1784"/>
      <c r="AF74" s="558"/>
      <c r="AG74" s="1768"/>
      <c r="AH74" s="1769"/>
      <c r="AI74" s="1769"/>
      <c r="AJ74" s="1769"/>
      <c r="AK74" s="1769"/>
      <c r="AL74" s="1769"/>
      <c r="AM74" s="1769"/>
      <c r="AN74" s="1769"/>
      <c r="AO74" s="1770"/>
      <c r="AP74" s="118"/>
      <c r="AQ74" s="118"/>
      <c r="AR74" s="118"/>
      <c r="AS74" s="118"/>
    </row>
    <row r="75" spans="1:55" ht="12.75" customHeight="1">
      <c r="A75" s="10"/>
      <c r="B75" s="1780"/>
      <c r="C75" s="1781"/>
      <c r="D75" s="1781"/>
      <c r="E75" s="1781"/>
      <c r="F75" s="1781"/>
      <c r="G75" s="1781"/>
      <c r="H75" s="1781"/>
      <c r="I75" s="1781"/>
      <c r="J75" s="1781"/>
      <c r="K75" s="1781"/>
      <c r="L75" s="1782"/>
      <c r="M75" s="11"/>
      <c r="N75" s="558"/>
      <c r="O75" s="143"/>
      <c r="P75" t="s">
        <v>713</v>
      </c>
      <c r="T75" s="13" t="s">
        <v>434</v>
      </c>
      <c r="U75" s="13"/>
      <c r="V75" s="11"/>
      <c r="W75" s="560"/>
      <c r="X75" s="1783"/>
      <c r="Y75" s="1778"/>
      <c r="Z75" s="1778"/>
      <c r="AA75" s="1778"/>
      <c r="AB75" s="1778"/>
      <c r="AC75" s="1778"/>
      <c r="AD75" s="1778"/>
      <c r="AE75" s="1784"/>
      <c r="AF75" s="558"/>
      <c r="AG75" s="1768"/>
      <c r="AH75" s="1769"/>
      <c r="AI75" s="1769"/>
      <c r="AJ75" s="1769"/>
      <c r="AK75" s="1769"/>
      <c r="AL75" s="1769"/>
      <c r="AM75" s="1769"/>
      <c r="AN75" s="1769"/>
      <c r="AO75" s="1770"/>
      <c r="AP75" s="118"/>
      <c r="AQ75" s="125"/>
      <c r="AR75" s="125"/>
      <c r="AS75" s="125"/>
    </row>
    <row r="76" spans="1:55" ht="14.25" customHeight="1" thickBot="1">
      <c r="A76" s="87"/>
      <c r="B76" s="19"/>
      <c r="C76" s="19"/>
      <c r="D76" s="19"/>
      <c r="E76" s="19"/>
      <c r="F76" s="19"/>
      <c r="G76" s="19"/>
      <c r="H76" s="19"/>
      <c r="I76" s="19"/>
      <c r="J76" s="19"/>
      <c r="K76" s="19"/>
      <c r="L76" s="19"/>
      <c r="M76" s="20"/>
      <c r="N76" s="559"/>
      <c r="O76" s="144"/>
      <c r="P76" s="19" t="s">
        <v>278</v>
      </c>
      <c r="Q76" s="19"/>
      <c r="R76" s="19"/>
      <c r="S76" s="19"/>
      <c r="T76" s="19"/>
      <c r="U76" s="19"/>
      <c r="V76" s="562"/>
      <c r="W76" s="561"/>
      <c r="X76" s="1785"/>
      <c r="Y76" s="1786"/>
      <c r="Z76" s="1786"/>
      <c r="AA76" s="1786"/>
      <c r="AB76" s="1786"/>
      <c r="AC76" s="1786"/>
      <c r="AD76" s="1786"/>
      <c r="AE76" s="1787"/>
      <c r="AF76" s="559"/>
      <c r="AG76" s="1771"/>
      <c r="AH76" s="1772"/>
      <c r="AI76" s="1772"/>
      <c r="AJ76" s="1772"/>
      <c r="AK76" s="1772"/>
      <c r="AL76" s="1772"/>
      <c r="AM76" s="1772"/>
      <c r="AN76" s="1772"/>
      <c r="AO76" s="1773"/>
      <c r="AP76" s="69"/>
      <c r="AQ76" s="69"/>
      <c r="AR76" s="69"/>
      <c r="AS76" s="69"/>
    </row>
    <row r="77" spans="1:55">
      <c r="A77" s="78"/>
      <c r="B77" s="78"/>
      <c r="C77" s="78"/>
      <c r="D77" s="78"/>
      <c r="E77" s="78"/>
      <c r="F77" s="78"/>
      <c r="G77" s="78"/>
      <c r="H77" s="78"/>
      <c r="I77" s="78"/>
      <c r="J77" s="78"/>
      <c r="K77" s="142"/>
      <c r="L77" s="142"/>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row>
    <row r="78" spans="1:55">
      <c r="A78" s="78"/>
      <c r="B78" s="78"/>
      <c r="C78" s="78"/>
      <c r="D78" s="78"/>
      <c r="E78" s="78"/>
      <c r="F78" s="78"/>
      <c r="G78" s="78"/>
      <c r="H78" s="78"/>
      <c r="I78" s="78"/>
      <c r="J78" s="78"/>
      <c r="K78" s="142"/>
      <c r="L78" s="142"/>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row>
    <row r="79" spans="1:55">
      <c r="A79" s="78"/>
      <c r="B79" s="78"/>
      <c r="C79" s="78"/>
      <c r="D79" s="78"/>
      <c r="E79" s="78"/>
      <c r="F79" s="78"/>
      <c r="G79" s="78"/>
      <c r="H79" s="78"/>
      <c r="I79" s="78"/>
      <c r="J79" s="78"/>
      <c r="K79" s="142"/>
      <c r="L79" s="142"/>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T79" s="44"/>
      <c r="AU79" s="21"/>
      <c r="AV79" s="21"/>
      <c r="AW79" s="21"/>
    </row>
    <row r="80" spans="1:55">
      <c r="B80" s="89"/>
      <c r="C80" s="88"/>
      <c r="D80" s="88"/>
      <c r="E80" s="88"/>
      <c r="F80" s="78"/>
      <c r="G80" s="78"/>
      <c r="H80" s="78"/>
      <c r="I80" s="78"/>
    </row>
    <row r="81" spans="1:9" ht="16.5" customHeight="1">
      <c r="F81" s="36"/>
      <c r="G81" s="35"/>
    </row>
    <row r="82" spans="1:9">
      <c r="F82" s="36"/>
      <c r="G82" s="36"/>
      <c r="H82" s="36"/>
      <c r="I82" s="35"/>
    </row>
    <row r="84" spans="1:9">
      <c r="A84" s="27"/>
    </row>
    <row r="85" spans="1:9">
      <c r="B85" s="27"/>
      <c r="C85" s="27"/>
    </row>
    <row r="86" spans="1:9" ht="14.25">
      <c r="D86" s="28"/>
    </row>
    <row r="89" spans="1:9" ht="14.25" customHeight="1"/>
    <row r="104" ht="11.2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39" spans="46:46" ht="14.25">
      <c r="AT139" s="126"/>
    </row>
    <row r="144" spans="46:46" ht="14.25">
      <c r="AT144" s="126"/>
    </row>
    <row r="152" spans="42:55">
      <c r="AT152" s="37"/>
      <c r="AU152" s="37"/>
      <c r="AV152" s="37"/>
      <c r="AW152" s="37"/>
    </row>
    <row r="155" spans="42:55">
      <c r="BB155" s="14"/>
      <c r="BC155" s="14"/>
    </row>
    <row r="156" spans="42:55">
      <c r="AP156" s="38"/>
      <c r="AU156" s="18"/>
      <c r="BB156" s="16"/>
    </row>
    <row r="157" spans="42:55">
      <c r="AP157" s="38"/>
      <c r="BB157" s="16"/>
    </row>
    <row r="160" spans="42:55">
      <c r="AP160" s="38"/>
    </row>
    <row r="161" spans="42:42">
      <c r="AP161" s="38"/>
    </row>
    <row r="176" spans="42:42">
      <c r="AP176" s="16"/>
    </row>
    <row r="177" spans="42:42">
      <c r="AP177" s="127"/>
    </row>
  </sheetData>
  <sheetProtection password="C9E9" sheet="1" formatRows="0"/>
  <mergeCells count="237">
    <mergeCell ref="A51:W58"/>
    <mergeCell ref="T37:V37"/>
    <mergeCell ref="Y41:AA41"/>
    <mergeCell ref="Y42:AA42"/>
    <mergeCell ref="Y47:AA47"/>
    <mergeCell ref="T47:V47"/>
    <mergeCell ref="J44:K44"/>
    <mergeCell ref="M44:O44"/>
    <mergeCell ref="Q44:R44"/>
    <mergeCell ref="T44:V44"/>
    <mergeCell ref="J43:K43"/>
    <mergeCell ref="M43:O43"/>
    <mergeCell ref="Q43:R43"/>
    <mergeCell ref="T43:V43"/>
    <mergeCell ref="J42:K42"/>
    <mergeCell ref="M42:O42"/>
    <mergeCell ref="Q42:R42"/>
    <mergeCell ref="T42:V42"/>
    <mergeCell ref="T41:V41"/>
    <mergeCell ref="Y43:AA43"/>
    <mergeCell ref="Y44:AA44"/>
    <mergeCell ref="Y45:AA45"/>
    <mergeCell ref="Y46:AA46"/>
    <mergeCell ref="Y52:AA52"/>
    <mergeCell ref="AM49:AO49"/>
    <mergeCell ref="AM50:AO50"/>
    <mergeCell ref="AM51:AO51"/>
    <mergeCell ref="AM52:AO52"/>
    <mergeCell ref="AE49:AH49"/>
    <mergeCell ref="AE50:AH50"/>
    <mergeCell ref="AE51:AH51"/>
    <mergeCell ref="AE52:AH52"/>
    <mergeCell ref="AB50:AD50"/>
    <mergeCell ref="Y50:AA50"/>
    <mergeCell ref="AI52:AL52"/>
    <mergeCell ref="AI50:AL50"/>
    <mergeCell ref="AI51:AL51"/>
    <mergeCell ref="AV64:AV65"/>
    <mergeCell ref="I69:M69"/>
    <mergeCell ref="B70:F70"/>
    <mergeCell ref="I70:M70"/>
    <mergeCell ref="X70:AE72"/>
    <mergeCell ref="I71:M71"/>
    <mergeCell ref="P71:U71"/>
    <mergeCell ref="Z66:AD66"/>
    <mergeCell ref="I67:M67"/>
    <mergeCell ref="I68:M68"/>
    <mergeCell ref="P64:S64"/>
    <mergeCell ref="T64:U64"/>
    <mergeCell ref="AG62:AO76"/>
    <mergeCell ref="B73:L75"/>
    <mergeCell ref="X73:AE76"/>
    <mergeCell ref="Z68:AD68"/>
    <mergeCell ref="I65:M65"/>
    <mergeCell ref="P65:S65"/>
    <mergeCell ref="T65:U65"/>
    <mergeCell ref="I66:M66"/>
    <mergeCell ref="T63:U63"/>
    <mergeCell ref="AB42:AD42"/>
    <mergeCell ref="I62:M62"/>
    <mergeCell ref="T62:U62"/>
    <mergeCell ref="J46:K46"/>
    <mergeCell ref="M46:O46"/>
    <mergeCell ref="Q46:R46"/>
    <mergeCell ref="T46:V46"/>
    <mergeCell ref="J47:K47"/>
    <mergeCell ref="M47:O47"/>
    <mergeCell ref="M48:O48"/>
    <mergeCell ref="Q48:R48"/>
    <mergeCell ref="Q49:R49"/>
    <mergeCell ref="Y48:AA48"/>
    <mergeCell ref="Y49:AA49"/>
    <mergeCell ref="A61:M61"/>
    <mergeCell ref="O61:V61"/>
    <mergeCell ref="Y51:AA51"/>
    <mergeCell ref="Q47:R47"/>
    <mergeCell ref="AB51:AD51"/>
    <mergeCell ref="AB52:AD52"/>
    <mergeCell ref="X61:AE61"/>
    <mergeCell ref="AC60:AO60"/>
    <mergeCell ref="AG61:AO61"/>
    <mergeCell ref="AM53:AO53"/>
    <mergeCell ref="AB40:AD40"/>
    <mergeCell ref="AI40:AL40"/>
    <mergeCell ref="AM40:AO40"/>
    <mergeCell ref="AE40:AH40"/>
    <mergeCell ref="AC38:AE38"/>
    <mergeCell ref="J49:K49"/>
    <mergeCell ref="M49:O49"/>
    <mergeCell ref="T49:V49"/>
    <mergeCell ref="AB48:AD48"/>
    <mergeCell ref="AB47:AD47"/>
    <mergeCell ref="AB49:AD49"/>
    <mergeCell ref="T48:V48"/>
    <mergeCell ref="J48:K48"/>
    <mergeCell ref="Q45:R45"/>
    <mergeCell ref="T45:V45"/>
    <mergeCell ref="J45:K45"/>
    <mergeCell ref="M45:O45"/>
    <mergeCell ref="AE48:AH48"/>
    <mergeCell ref="AE47:AH47"/>
    <mergeCell ref="AI48:AL48"/>
    <mergeCell ref="AM48:AO48"/>
    <mergeCell ref="AI49:AL49"/>
    <mergeCell ref="AM47:AO47"/>
    <mergeCell ref="AI45:AL45"/>
    <mergeCell ref="E38:G38"/>
    <mergeCell ref="H38:J38"/>
    <mergeCell ref="K38:M38"/>
    <mergeCell ref="N38:P38"/>
    <mergeCell ref="Q38:S38"/>
    <mergeCell ref="T38:V38"/>
    <mergeCell ref="A41:H41"/>
    <mergeCell ref="J41:K41"/>
    <mergeCell ref="M41:O41"/>
    <mergeCell ref="Q41:R41"/>
    <mergeCell ref="J40:O40"/>
    <mergeCell ref="Q40:V40"/>
    <mergeCell ref="A36:D36"/>
    <mergeCell ref="E36:G36"/>
    <mergeCell ref="W38:Y38"/>
    <mergeCell ref="Z38:AB38"/>
    <mergeCell ref="AI36:AK36"/>
    <mergeCell ref="AL36:AO36"/>
    <mergeCell ref="E37:G37"/>
    <mergeCell ref="H37:J37"/>
    <mergeCell ref="K37:M37"/>
    <mergeCell ref="N37:P37"/>
    <mergeCell ref="H36:J36"/>
    <mergeCell ref="K36:M36"/>
    <mergeCell ref="N36:P36"/>
    <mergeCell ref="Q36:S36"/>
    <mergeCell ref="T36:V36"/>
    <mergeCell ref="W36:Y36"/>
    <mergeCell ref="AC37:AE37"/>
    <mergeCell ref="AF37:AH37"/>
    <mergeCell ref="W37:Y37"/>
    <mergeCell ref="Z37:AB37"/>
    <mergeCell ref="Q37:S37"/>
    <mergeCell ref="AI37:AK37"/>
    <mergeCell ref="AL37:AO37"/>
    <mergeCell ref="AF38:AH38"/>
    <mergeCell ref="AF11:AO11"/>
    <mergeCell ref="AF12:AO12"/>
    <mergeCell ref="AC19:AH19"/>
    <mergeCell ref="AI19:AO19"/>
    <mergeCell ref="AL35:AO35"/>
    <mergeCell ref="A35:Y35"/>
    <mergeCell ref="Z35:AB35"/>
    <mergeCell ref="AC35:AE35"/>
    <mergeCell ref="AF35:AH35"/>
    <mergeCell ref="AI35:AK35"/>
    <mergeCell ref="J21:N21"/>
    <mergeCell ref="O21:V21"/>
    <mergeCell ref="J20:N20"/>
    <mergeCell ref="A22:AO22"/>
    <mergeCell ref="B31:F31"/>
    <mergeCell ref="S23:AN23"/>
    <mergeCell ref="R28:U29"/>
    <mergeCell ref="R26:U27"/>
    <mergeCell ref="R24:U25"/>
    <mergeCell ref="R30:U31"/>
    <mergeCell ref="W20:AO20"/>
    <mergeCell ref="K11:Y11"/>
    <mergeCell ref="K12:Y12"/>
    <mergeCell ref="AF36:AH36"/>
    <mergeCell ref="AI38:AK38"/>
    <mergeCell ref="AL38:AO38"/>
    <mergeCell ref="Y40:AA40"/>
    <mergeCell ref="A4:G5"/>
    <mergeCell ref="H4:AO5"/>
    <mergeCell ref="AK7:AM7"/>
    <mergeCell ref="O8:AO8"/>
    <mergeCell ref="A19:M19"/>
    <mergeCell ref="N19:AB19"/>
    <mergeCell ref="A20:F20"/>
    <mergeCell ref="G20:I20"/>
    <mergeCell ref="W21:AO21"/>
    <mergeCell ref="O20:V20"/>
    <mergeCell ref="A9:N9"/>
    <mergeCell ref="A18:M18"/>
    <mergeCell ref="N18:AB18"/>
    <mergeCell ref="AC18:AH18"/>
    <mergeCell ref="O9:AO9"/>
    <mergeCell ref="A13:AB13"/>
    <mergeCell ref="A14:AO16"/>
    <mergeCell ref="A11:J11"/>
    <mergeCell ref="A12:J12"/>
    <mergeCell ref="Z11:AE11"/>
    <mergeCell ref="O6:S6"/>
    <mergeCell ref="T6:AC6"/>
    <mergeCell ref="AD6:AJ6"/>
    <mergeCell ref="AK6:AO6"/>
    <mergeCell ref="Z36:AB36"/>
    <mergeCell ref="AI46:AL46"/>
    <mergeCell ref="AB41:AD41"/>
    <mergeCell ref="AB43:AD43"/>
    <mergeCell ref="AM41:AO41"/>
    <mergeCell ref="AM42:AO42"/>
    <mergeCell ref="AM43:AO43"/>
    <mergeCell ref="AM44:AO44"/>
    <mergeCell ref="AI44:AL44"/>
    <mergeCell ref="AE44:AH44"/>
    <mergeCell ref="AI42:AL42"/>
    <mergeCell ref="AM45:AO45"/>
    <mergeCell ref="AB45:AD45"/>
    <mergeCell ref="AB46:AD46"/>
    <mergeCell ref="AE42:AH42"/>
    <mergeCell ref="AE43:AH43"/>
    <mergeCell ref="AI41:AL41"/>
    <mergeCell ref="AI43:AL43"/>
    <mergeCell ref="AB44:AD44"/>
    <mergeCell ref="AE41:AH41"/>
    <mergeCell ref="AI47:AL47"/>
    <mergeCell ref="AM46:AO46"/>
    <mergeCell ref="AE46:AH46"/>
    <mergeCell ref="AE45:AH45"/>
    <mergeCell ref="A1:AO1"/>
    <mergeCell ref="A2:AO2"/>
    <mergeCell ref="R32:U33"/>
    <mergeCell ref="V24:AO25"/>
    <mergeCell ref="V26:AO27"/>
    <mergeCell ref="V28:AO29"/>
    <mergeCell ref="V30:AO31"/>
    <mergeCell ref="V32:AO33"/>
    <mergeCell ref="G21:I21"/>
    <mergeCell ref="A21:F21"/>
    <mergeCell ref="Z12:AE12"/>
    <mergeCell ref="A8:N8"/>
    <mergeCell ref="A7:J7"/>
    <mergeCell ref="K7:N7"/>
    <mergeCell ref="O7:S7"/>
    <mergeCell ref="T7:AC7"/>
    <mergeCell ref="AD7:AJ7"/>
    <mergeCell ref="AF3:AO3"/>
    <mergeCell ref="A6:J6"/>
    <mergeCell ref="K6:N6"/>
  </mergeCells>
  <phoneticPr fontId="17" type="noConversion"/>
  <conditionalFormatting sqref="D86 W37:W38 Q37:Q38 T37:T38 K37:K38 H37:H38 N37:N38 E37:E38">
    <cfRule type="expression" dxfId="102" priority="1" stopIfTrue="1">
      <formula>$AT$107=TRUE</formula>
    </cfRule>
  </conditionalFormatting>
  <conditionalFormatting sqref="X58:X60 M41 D42:D45 P40:P41 K42:L45 J40:J41 G42:G45 A40:A41 G40">
    <cfRule type="expression" dxfId="101" priority="2" stopIfTrue="1">
      <formula>#REF!=TRUE</formula>
    </cfRule>
  </conditionalFormatting>
  <conditionalFormatting sqref="AI19">
    <cfRule type="expression" dxfId="100" priority="3" stopIfTrue="1">
      <formula>$AC$19="Yes"</formula>
    </cfRule>
  </conditionalFormatting>
  <conditionalFormatting sqref="K7:N7">
    <cfRule type="expression" dxfId="99" priority="4" stopIfTrue="1">
      <formula>OR($A$7="owned",$A$7="purchase option",$A$7="lease",$A$7="lease o+$AN$3ption",$A$7="DDA")</formula>
    </cfRule>
  </conditionalFormatting>
  <conditionalFormatting sqref="T7:AC7">
    <cfRule type="expression" dxfId="98" priority="5" stopIfTrue="1">
      <formula>$A$7="Purchase Option"</formula>
    </cfRule>
    <cfRule type="expression" dxfId="97" priority="6" stopIfTrue="1">
      <formula>$A$7="Lease Option"</formula>
    </cfRule>
  </conditionalFormatting>
  <conditionalFormatting sqref="AD7:AJ7">
    <cfRule type="expression" dxfId="96" priority="7" stopIfTrue="1">
      <formula>OR($A$7="fee title",$A$7="purchase option",$A$7="DDA")</formula>
    </cfRule>
  </conditionalFormatting>
  <conditionalFormatting sqref="O7:S7">
    <cfRule type="expression" dxfId="95" priority="8" stopIfTrue="1">
      <formula>$A$7="Purchase Option"</formula>
    </cfRule>
    <cfRule type="expression" dxfId="94" priority="9" stopIfTrue="1">
      <formula>OR($A$7="Lease Option",$A$7="Eminent Domain",$A$7="Purchase Option")</formula>
    </cfRule>
  </conditionalFormatting>
  <conditionalFormatting sqref="AF12:AO12 K12 Z12">
    <cfRule type="expression" dxfId="93" priority="10" stopIfTrue="1">
      <formula>$A$12="Yes"</formula>
    </cfRule>
  </conditionalFormatting>
  <dataValidations count="6">
    <dataValidation type="list" allowBlank="1" showInputMessage="1" showErrorMessage="1" sqref="O21:V21">
      <formula1>Access_Road_Maintenance</formula1>
    </dataValidation>
    <dataValidation type="list" allowBlank="1" showInputMessage="1" showErrorMessage="1" sqref="A7:J7">
      <formula1>Site_Control</formula1>
    </dataValidation>
    <dataValidation type="date" operator="greaterThan" allowBlank="1" showInputMessage="1" showErrorMessage="1" errorTitle="Need Application Date" error="Your entry must be a date after January 1, 2006." promptTitle="Date of Application or Update" prompt="Enter the date of this application or application update." sqref="K1:Q1">
      <formula1>38718</formula1>
    </dataValidation>
    <dataValidation type="list" allowBlank="1" showInputMessage="1" showErrorMessage="1" sqref="A12:J12 A21:N21 AC19:AH19">
      <formula1>Yes_No</formula1>
    </dataValidation>
    <dataValidation type="list" allowBlank="1" showInputMessage="1" showErrorMessage="1" sqref="AE41:AH52">
      <formula1>Layout</formula1>
    </dataValidation>
    <dataValidation type="list" allowBlank="1" showInputMessage="1" showErrorMessage="1" sqref="Y41:AA52">
      <formula1>Unit_Size</formula1>
    </dataValidation>
  </dataValidations>
  <printOptions horizontalCentered="1"/>
  <pageMargins left="0.5" right="0" top="0.5" bottom="0.3" header="0" footer="0"/>
  <pageSetup scale="68" firstPageNumber="8" orientation="portrait" horizontalDpi="525" verticalDpi="525" r:id="rId1"/>
  <headerFooter scaleWithDoc="0" alignWithMargins="0">
    <oddFooter>&amp;C&amp;9Page &amp;P of &amp;N&amp;R&amp;"Arial,Italic"&amp;9Universal Application - &amp;A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1377" r:id="rId4" name="Check Box 1">
              <controlPr defaultSize="0" autoFill="0" autoLine="0" autoPict="0">
                <anchor moveWithCells="1" sizeWithCells="1">
                  <from>
                    <xdr:col>0</xdr:col>
                    <xdr:colOff>0</xdr:colOff>
                    <xdr:row>21</xdr:row>
                    <xdr:rowOff>180975</xdr:rowOff>
                  </from>
                  <to>
                    <xdr:col>1</xdr:col>
                    <xdr:colOff>76200</xdr:colOff>
                    <xdr:row>23</xdr:row>
                    <xdr:rowOff>28575</xdr:rowOff>
                  </to>
                </anchor>
              </controlPr>
            </control>
          </mc:Choice>
        </mc:AlternateContent>
        <mc:AlternateContent xmlns:mc="http://schemas.openxmlformats.org/markup-compatibility/2006">
          <mc:Choice Requires="x14">
            <control shapeId="101378" r:id="rId5" name="Check Box 2">
              <controlPr defaultSize="0" autoFill="0" autoLine="0" autoPict="0">
                <anchor moveWithCells="1" sizeWithCells="1">
                  <from>
                    <xdr:col>0</xdr:col>
                    <xdr:colOff>0</xdr:colOff>
                    <xdr:row>22</xdr:row>
                    <xdr:rowOff>161925</xdr:rowOff>
                  </from>
                  <to>
                    <xdr:col>1</xdr:col>
                    <xdr:colOff>76200</xdr:colOff>
                    <xdr:row>24</xdr:row>
                    <xdr:rowOff>28575</xdr:rowOff>
                  </to>
                </anchor>
              </controlPr>
            </control>
          </mc:Choice>
        </mc:AlternateContent>
        <mc:AlternateContent xmlns:mc="http://schemas.openxmlformats.org/markup-compatibility/2006">
          <mc:Choice Requires="x14">
            <control shapeId="101379" r:id="rId6" name="Check Box 3">
              <controlPr defaultSize="0" autoFill="0" autoLine="0" autoPict="0">
                <anchor moveWithCells="1" sizeWithCells="1">
                  <from>
                    <xdr:col>0</xdr:col>
                    <xdr:colOff>0</xdr:colOff>
                    <xdr:row>23</xdr:row>
                    <xdr:rowOff>152400</xdr:rowOff>
                  </from>
                  <to>
                    <xdr:col>1</xdr:col>
                    <xdr:colOff>76200</xdr:colOff>
                    <xdr:row>25</xdr:row>
                    <xdr:rowOff>28575</xdr:rowOff>
                  </to>
                </anchor>
              </controlPr>
            </control>
          </mc:Choice>
        </mc:AlternateContent>
        <mc:AlternateContent xmlns:mc="http://schemas.openxmlformats.org/markup-compatibility/2006">
          <mc:Choice Requires="x14">
            <control shapeId="101380" r:id="rId7" name="Check Box 4">
              <controlPr defaultSize="0" autoFill="0" autoLine="0" autoPict="0">
                <anchor moveWithCells="1" sizeWithCells="1">
                  <from>
                    <xdr:col>0</xdr:col>
                    <xdr:colOff>0</xdr:colOff>
                    <xdr:row>24</xdr:row>
                    <xdr:rowOff>152400</xdr:rowOff>
                  </from>
                  <to>
                    <xdr:col>1</xdr:col>
                    <xdr:colOff>76200</xdr:colOff>
                    <xdr:row>26</xdr:row>
                    <xdr:rowOff>9525</xdr:rowOff>
                  </to>
                </anchor>
              </controlPr>
            </control>
          </mc:Choice>
        </mc:AlternateContent>
        <mc:AlternateContent xmlns:mc="http://schemas.openxmlformats.org/markup-compatibility/2006">
          <mc:Choice Requires="x14">
            <control shapeId="101389" r:id="rId8" name="Check Box 13">
              <controlPr defaultSize="0" autoFill="0" autoLine="0" autoPict="0">
                <anchor moveWithCells="1" sizeWithCells="1">
                  <from>
                    <xdr:col>0</xdr:col>
                    <xdr:colOff>0</xdr:colOff>
                    <xdr:row>25</xdr:row>
                    <xdr:rowOff>133350</xdr:rowOff>
                  </from>
                  <to>
                    <xdr:col>1</xdr:col>
                    <xdr:colOff>76200</xdr:colOff>
                    <xdr:row>26</xdr:row>
                    <xdr:rowOff>171450</xdr:rowOff>
                  </to>
                </anchor>
              </controlPr>
            </control>
          </mc:Choice>
        </mc:AlternateContent>
        <mc:AlternateContent xmlns:mc="http://schemas.openxmlformats.org/markup-compatibility/2006">
          <mc:Choice Requires="x14">
            <control shapeId="101390" r:id="rId9" name="Check Box 14">
              <controlPr defaultSize="0" autoFill="0" autoLine="0" autoPict="0">
                <anchor moveWithCells="1" sizeWithCells="1">
                  <from>
                    <xdr:col>0</xdr:col>
                    <xdr:colOff>0</xdr:colOff>
                    <xdr:row>26</xdr:row>
                    <xdr:rowOff>123825</xdr:rowOff>
                  </from>
                  <to>
                    <xdr:col>1</xdr:col>
                    <xdr:colOff>76200</xdr:colOff>
                    <xdr:row>27</xdr:row>
                    <xdr:rowOff>180975</xdr:rowOff>
                  </to>
                </anchor>
              </controlPr>
            </control>
          </mc:Choice>
        </mc:AlternateContent>
        <mc:AlternateContent xmlns:mc="http://schemas.openxmlformats.org/markup-compatibility/2006">
          <mc:Choice Requires="x14">
            <control shapeId="101391" r:id="rId10" name="Check Box 15">
              <controlPr defaultSize="0" autoFill="0" autoLine="0" autoPict="0">
                <anchor moveWithCells="1" sizeWithCells="1">
                  <from>
                    <xdr:col>0</xdr:col>
                    <xdr:colOff>0</xdr:colOff>
                    <xdr:row>27</xdr:row>
                    <xdr:rowOff>133350</xdr:rowOff>
                  </from>
                  <to>
                    <xdr:col>1</xdr:col>
                    <xdr:colOff>76200</xdr:colOff>
                    <xdr:row>28</xdr:row>
                    <xdr:rowOff>161925</xdr:rowOff>
                  </to>
                </anchor>
              </controlPr>
            </control>
          </mc:Choice>
        </mc:AlternateContent>
        <mc:AlternateContent xmlns:mc="http://schemas.openxmlformats.org/markup-compatibility/2006">
          <mc:Choice Requires="x14">
            <control shapeId="101392" r:id="rId11" name="Check Box 16">
              <controlPr defaultSize="0" autoFill="0" autoLine="0" autoPict="0">
                <anchor moveWithCells="1" sizeWithCells="1">
                  <from>
                    <xdr:col>0</xdr:col>
                    <xdr:colOff>0</xdr:colOff>
                    <xdr:row>28</xdr:row>
                    <xdr:rowOff>123825</xdr:rowOff>
                  </from>
                  <to>
                    <xdr:col>1</xdr:col>
                    <xdr:colOff>76200</xdr:colOff>
                    <xdr:row>30</xdr:row>
                    <xdr:rowOff>9525</xdr:rowOff>
                  </to>
                </anchor>
              </controlPr>
            </control>
          </mc:Choice>
        </mc:AlternateContent>
        <mc:AlternateContent xmlns:mc="http://schemas.openxmlformats.org/markup-compatibility/2006">
          <mc:Choice Requires="x14">
            <control shapeId="101393" r:id="rId12" name="Check Box 17">
              <controlPr defaultSize="0" autoFill="0" autoLine="0" autoPict="0">
                <anchor moveWithCells="1" sizeWithCells="1">
                  <from>
                    <xdr:col>0</xdr:col>
                    <xdr:colOff>0</xdr:colOff>
                    <xdr:row>29</xdr:row>
                    <xdr:rowOff>114300</xdr:rowOff>
                  </from>
                  <to>
                    <xdr:col>1</xdr:col>
                    <xdr:colOff>76200</xdr:colOff>
                    <xdr:row>31</xdr:row>
                    <xdr:rowOff>9525</xdr:rowOff>
                  </to>
                </anchor>
              </controlPr>
            </control>
          </mc:Choice>
        </mc:AlternateContent>
        <mc:AlternateContent xmlns:mc="http://schemas.openxmlformats.org/markup-compatibility/2006">
          <mc:Choice Requires="x14">
            <control shapeId="101394" r:id="rId13" name="Check Box 18">
              <controlPr defaultSize="0" autoFill="0" autoLine="0" autoPict="0">
                <anchor moveWithCells="1" sizeWithCells="1">
                  <from>
                    <xdr:col>0</xdr:col>
                    <xdr:colOff>0</xdr:colOff>
                    <xdr:row>30</xdr:row>
                    <xdr:rowOff>133350</xdr:rowOff>
                  </from>
                  <to>
                    <xdr:col>1</xdr:col>
                    <xdr:colOff>76200</xdr:colOff>
                    <xdr:row>32</xdr:row>
                    <xdr:rowOff>19050</xdr:rowOff>
                  </to>
                </anchor>
              </controlPr>
            </control>
          </mc:Choice>
        </mc:AlternateContent>
        <mc:AlternateContent xmlns:mc="http://schemas.openxmlformats.org/markup-compatibility/2006">
          <mc:Choice Requires="x14">
            <control shapeId="101381" r:id="rId14" name="Check Box 5">
              <controlPr defaultSize="0" autoFill="0" autoLine="0" autoPict="0">
                <anchor moveWithCells="1" sizeWithCells="1">
                  <from>
                    <xdr:col>7</xdr:col>
                    <xdr:colOff>0</xdr:colOff>
                    <xdr:row>30</xdr:row>
                    <xdr:rowOff>133350</xdr:rowOff>
                  </from>
                  <to>
                    <xdr:col>8</xdr:col>
                    <xdr:colOff>104775</xdr:colOff>
                    <xdr:row>32</xdr:row>
                    <xdr:rowOff>9525</xdr:rowOff>
                  </to>
                </anchor>
              </controlPr>
            </control>
          </mc:Choice>
        </mc:AlternateContent>
        <mc:AlternateContent xmlns:mc="http://schemas.openxmlformats.org/markup-compatibility/2006">
          <mc:Choice Requires="x14">
            <control shapeId="101382" r:id="rId15" name="Check Box 6">
              <controlPr defaultSize="0" autoFill="0" autoLine="0" autoPict="0">
                <anchor moveWithCells="1" sizeWithCells="1">
                  <from>
                    <xdr:col>7</xdr:col>
                    <xdr:colOff>0</xdr:colOff>
                    <xdr:row>24</xdr:row>
                    <xdr:rowOff>142875</xdr:rowOff>
                  </from>
                  <to>
                    <xdr:col>8</xdr:col>
                    <xdr:colOff>104775</xdr:colOff>
                    <xdr:row>25</xdr:row>
                    <xdr:rowOff>171450</xdr:rowOff>
                  </to>
                </anchor>
              </controlPr>
            </control>
          </mc:Choice>
        </mc:AlternateContent>
        <mc:AlternateContent xmlns:mc="http://schemas.openxmlformats.org/markup-compatibility/2006">
          <mc:Choice Requires="x14">
            <control shapeId="101383" r:id="rId16" name="Check Box 7">
              <controlPr defaultSize="0" autoFill="0" autoLine="0" autoPict="0">
                <anchor moveWithCells="1" sizeWithCells="1">
                  <from>
                    <xdr:col>7</xdr:col>
                    <xdr:colOff>0</xdr:colOff>
                    <xdr:row>23</xdr:row>
                    <xdr:rowOff>142875</xdr:rowOff>
                  </from>
                  <to>
                    <xdr:col>8</xdr:col>
                    <xdr:colOff>104775</xdr:colOff>
                    <xdr:row>25</xdr:row>
                    <xdr:rowOff>19050</xdr:rowOff>
                  </to>
                </anchor>
              </controlPr>
            </control>
          </mc:Choice>
        </mc:AlternateContent>
        <mc:AlternateContent xmlns:mc="http://schemas.openxmlformats.org/markup-compatibility/2006">
          <mc:Choice Requires="x14">
            <control shapeId="101384" r:id="rId17" name="Check Box 8">
              <controlPr defaultSize="0" autoFill="0" autoLine="0" autoPict="0">
                <anchor moveWithCells="1" sizeWithCells="1">
                  <from>
                    <xdr:col>7</xdr:col>
                    <xdr:colOff>0</xdr:colOff>
                    <xdr:row>26</xdr:row>
                    <xdr:rowOff>133350</xdr:rowOff>
                  </from>
                  <to>
                    <xdr:col>8</xdr:col>
                    <xdr:colOff>104775</xdr:colOff>
                    <xdr:row>27</xdr:row>
                    <xdr:rowOff>180975</xdr:rowOff>
                  </to>
                </anchor>
              </controlPr>
            </control>
          </mc:Choice>
        </mc:AlternateContent>
        <mc:AlternateContent xmlns:mc="http://schemas.openxmlformats.org/markup-compatibility/2006">
          <mc:Choice Requires="x14">
            <control shapeId="101385" r:id="rId18" name="Check Box 9">
              <controlPr defaultSize="0" autoFill="0" autoLine="0" autoPict="0">
                <anchor moveWithCells="1" sizeWithCells="1">
                  <from>
                    <xdr:col>7</xdr:col>
                    <xdr:colOff>0</xdr:colOff>
                    <xdr:row>25</xdr:row>
                    <xdr:rowOff>133350</xdr:rowOff>
                  </from>
                  <to>
                    <xdr:col>8</xdr:col>
                    <xdr:colOff>104775</xdr:colOff>
                    <xdr:row>27</xdr:row>
                    <xdr:rowOff>9525</xdr:rowOff>
                  </to>
                </anchor>
              </controlPr>
            </control>
          </mc:Choice>
        </mc:AlternateContent>
        <mc:AlternateContent xmlns:mc="http://schemas.openxmlformats.org/markup-compatibility/2006">
          <mc:Choice Requires="x14">
            <control shapeId="101386" r:id="rId19" name="Check Box 10">
              <controlPr defaultSize="0" autoFill="0" autoLine="0" autoPict="0">
                <anchor moveWithCells="1" sizeWithCells="1">
                  <from>
                    <xdr:col>7</xdr:col>
                    <xdr:colOff>0</xdr:colOff>
                    <xdr:row>27</xdr:row>
                    <xdr:rowOff>133350</xdr:rowOff>
                  </from>
                  <to>
                    <xdr:col>8</xdr:col>
                    <xdr:colOff>104775</xdr:colOff>
                    <xdr:row>28</xdr:row>
                    <xdr:rowOff>161925</xdr:rowOff>
                  </to>
                </anchor>
              </controlPr>
            </control>
          </mc:Choice>
        </mc:AlternateContent>
        <mc:AlternateContent xmlns:mc="http://schemas.openxmlformats.org/markup-compatibility/2006">
          <mc:Choice Requires="x14">
            <control shapeId="101387" r:id="rId20" name="Check Box 11">
              <controlPr defaultSize="0" autoFill="0" autoLine="0" autoPict="0">
                <anchor moveWithCells="1" sizeWithCells="1">
                  <from>
                    <xdr:col>7</xdr:col>
                    <xdr:colOff>0</xdr:colOff>
                    <xdr:row>28</xdr:row>
                    <xdr:rowOff>123825</xdr:rowOff>
                  </from>
                  <to>
                    <xdr:col>8</xdr:col>
                    <xdr:colOff>104775</xdr:colOff>
                    <xdr:row>30</xdr:row>
                    <xdr:rowOff>9525</xdr:rowOff>
                  </to>
                </anchor>
              </controlPr>
            </control>
          </mc:Choice>
        </mc:AlternateContent>
        <mc:AlternateContent xmlns:mc="http://schemas.openxmlformats.org/markup-compatibility/2006">
          <mc:Choice Requires="x14">
            <control shapeId="101388" r:id="rId21" name="Check Box 12">
              <controlPr defaultSize="0" autoFill="0" autoLine="0" autoPict="0">
                <anchor moveWithCells="1" sizeWithCells="1">
                  <from>
                    <xdr:col>7</xdr:col>
                    <xdr:colOff>0</xdr:colOff>
                    <xdr:row>29</xdr:row>
                    <xdr:rowOff>114300</xdr:rowOff>
                  </from>
                  <to>
                    <xdr:col>8</xdr:col>
                    <xdr:colOff>104775</xdr:colOff>
                    <xdr:row>31</xdr:row>
                    <xdr:rowOff>19050</xdr:rowOff>
                  </to>
                </anchor>
              </controlPr>
            </control>
          </mc:Choice>
        </mc:AlternateContent>
        <mc:AlternateContent xmlns:mc="http://schemas.openxmlformats.org/markup-compatibility/2006">
          <mc:Choice Requires="x14">
            <control shapeId="101398" r:id="rId22" name="Check Box 22">
              <controlPr defaultSize="0" autoFill="0" autoLine="0" autoPict="0">
                <anchor moveWithCells="1" sizeWithCells="1">
                  <from>
                    <xdr:col>7</xdr:col>
                    <xdr:colOff>0</xdr:colOff>
                    <xdr:row>22</xdr:row>
                    <xdr:rowOff>152400</xdr:rowOff>
                  </from>
                  <to>
                    <xdr:col>8</xdr:col>
                    <xdr:colOff>104775</xdr:colOff>
                    <xdr:row>24</xdr:row>
                    <xdr:rowOff>19050</xdr:rowOff>
                  </to>
                </anchor>
              </controlPr>
            </control>
          </mc:Choice>
        </mc:AlternateContent>
        <mc:AlternateContent xmlns:mc="http://schemas.openxmlformats.org/markup-compatibility/2006">
          <mc:Choice Requires="x14">
            <control shapeId="101399" r:id="rId23" name="Check Box 23">
              <controlPr defaultSize="0" autoFill="0" autoLine="0" autoPict="0">
                <anchor moveWithCells="1" sizeWithCells="1">
                  <from>
                    <xdr:col>7</xdr:col>
                    <xdr:colOff>0</xdr:colOff>
                    <xdr:row>21</xdr:row>
                    <xdr:rowOff>161925</xdr:rowOff>
                  </from>
                  <to>
                    <xdr:col>8</xdr:col>
                    <xdr:colOff>104775</xdr:colOff>
                    <xdr:row>23</xdr:row>
                    <xdr:rowOff>9525</xdr:rowOff>
                  </to>
                </anchor>
              </controlPr>
            </control>
          </mc:Choice>
        </mc:AlternateContent>
        <mc:AlternateContent xmlns:mc="http://schemas.openxmlformats.org/markup-compatibility/2006">
          <mc:Choice Requires="x14">
            <control shapeId="101475" r:id="rId24" name="Check Box 99">
              <controlPr defaultSize="0" autoFill="0" autoLine="0" autoPict="0">
                <anchor moveWithCells="1" sizeWithCells="1">
                  <from>
                    <xdr:col>0</xdr:col>
                    <xdr:colOff>9525</xdr:colOff>
                    <xdr:row>60</xdr:row>
                    <xdr:rowOff>133350</xdr:rowOff>
                  </from>
                  <to>
                    <xdr:col>1</xdr:col>
                    <xdr:colOff>114300</xdr:colOff>
                    <xdr:row>62</xdr:row>
                    <xdr:rowOff>19050</xdr:rowOff>
                  </to>
                </anchor>
              </controlPr>
            </control>
          </mc:Choice>
        </mc:AlternateContent>
        <mc:AlternateContent xmlns:mc="http://schemas.openxmlformats.org/markup-compatibility/2006">
          <mc:Choice Requires="x14">
            <control shapeId="101476" r:id="rId25" name="Check Box 100">
              <controlPr defaultSize="0" autoFill="0" autoLine="0" autoPict="0">
                <anchor moveWithCells="1" sizeWithCells="1">
                  <from>
                    <xdr:col>0</xdr:col>
                    <xdr:colOff>9525</xdr:colOff>
                    <xdr:row>61</xdr:row>
                    <xdr:rowOff>161925</xdr:rowOff>
                  </from>
                  <to>
                    <xdr:col>1</xdr:col>
                    <xdr:colOff>114300</xdr:colOff>
                    <xdr:row>63</xdr:row>
                    <xdr:rowOff>19050</xdr:rowOff>
                  </to>
                </anchor>
              </controlPr>
            </control>
          </mc:Choice>
        </mc:AlternateContent>
        <mc:AlternateContent xmlns:mc="http://schemas.openxmlformats.org/markup-compatibility/2006">
          <mc:Choice Requires="x14">
            <control shapeId="101477" r:id="rId26" name="Check Box 101">
              <controlPr defaultSize="0" autoFill="0" autoLine="0" autoPict="0">
                <anchor moveWithCells="1" sizeWithCells="1">
                  <from>
                    <xdr:col>0</xdr:col>
                    <xdr:colOff>9525</xdr:colOff>
                    <xdr:row>62</xdr:row>
                    <xdr:rowOff>171450</xdr:rowOff>
                  </from>
                  <to>
                    <xdr:col>1</xdr:col>
                    <xdr:colOff>114300</xdr:colOff>
                    <xdr:row>64</xdr:row>
                    <xdr:rowOff>28575</xdr:rowOff>
                  </to>
                </anchor>
              </controlPr>
            </control>
          </mc:Choice>
        </mc:AlternateContent>
        <mc:AlternateContent xmlns:mc="http://schemas.openxmlformats.org/markup-compatibility/2006">
          <mc:Choice Requires="x14">
            <control shapeId="101478" r:id="rId27" name="Check Box 102">
              <controlPr defaultSize="0" autoFill="0" autoLine="0" autoPict="0">
                <anchor moveWithCells="1" sizeWithCells="1">
                  <from>
                    <xdr:col>0</xdr:col>
                    <xdr:colOff>9525</xdr:colOff>
                    <xdr:row>63</xdr:row>
                    <xdr:rowOff>171450</xdr:rowOff>
                  </from>
                  <to>
                    <xdr:col>1</xdr:col>
                    <xdr:colOff>114300</xdr:colOff>
                    <xdr:row>65</xdr:row>
                    <xdr:rowOff>28575</xdr:rowOff>
                  </to>
                </anchor>
              </controlPr>
            </control>
          </mc:Choice>
        </mc:AlternateContent>
        <mc:AlternateContent xmlns:mc="http://schemas.openxmlformats.org/markup-compatibility/2006">
          <mc:Choice Requires="x14">
            <control shapeId="101480" r:id="rId28" name="Check Box 104">
              <controlPr defaultSize="0" autoFill="0" autoLine="0" autoPict="0">
                <anchor moveWithCells="1" sizeWithCells="1">
                  <from>
                    <xdr:col>0</xdr:col>
                    <xdr:colOff>9525</xdr:colOff>
                    <xdr:row>64</xdr:row>
                    <xdr:rowOff>171450</xdr:rowOff>
                  </from>
                  <to>
                    <xdr:col>1</xdr:col>
                    <xdr:colOff>114300</xdr:colOff>
                    <xdr:row>66</xdr:row>
                    <xdr:rowOff>28575</xdr:rowOff>
                  </to>
                </anchor>
              </controlPr>
            </control>
          </mc:Choice>
        </mc:AlternateContent>
        <mc:AlternateContent xmlns:mc="http://schemas.openxmlformats.org/markup-compatibility/2006">
          <mc:Choice Requires="x14">
            <control shapeId="101482" r:id="rId29" name="Check Box 106">
              <controlPr defaultSize="0" autoFill="0" autoLine="0" autoPict="0">
                <anchor moveWithCells="1" sizeWithCells="1">
                  <from>
                    <xdr:col>0</xdr:col>
                    <xdr:colOff>9525</xdr:colOff>
                    <xdr:row>65</xdr:row>
                    <xdr:rowOff>171450</xdr:rowOff>
                  </from>
                  <to>
                    <xdr:col>1</xdr:col>
                    <xdr:colOff>114300</xdr:colOff>
                    <xdr:row>67</xdr:row>
                    <xdr:rowOff>19050</xdr:rowOff>
                  </to>
                </anchor>
              </controlPr>
            </control>
          </mc:Choice>
        </mc:AlternateContent>
        <mc:AlternateContent xmlns:mc="http://schemas.openxmlformats.org/markup-compatibility/2006">
          <mc:Choice Requires="x14">
            <control shapeId="101484" r:id="rId30" name="Check Box 108">
              <controlPr defaultSize="0" autoFill="0" autoLine="0" autoPict="0">
                <anchor moveWithCells="1" sizeWithCells="1">
                  <from>
                    <xdr:col>0</xdr:col>
                    <xdr:colOff>9525</xdr:colOff>
                    <xdr:row>66</xdr:row>
                    <xdr:rowOff>171450</xdr:rowOff>
                  </from>
                  <to>
                    <xdr:col>1</xdr:col>
                    <xdr:colOff>114300</xdr:colOff>
                    <xdr:row>68</xdr:row>
                    <xdr:rowOff>19050</xdr:rowOff>
                  </to>
                </anchor>
              </controlPr>
            </control>
          </mc:Choice>
        </mc:AlternateContent>
        <mc:AlternateContent xmlns:mc="http://schemas.openxmlformats.org/markup-compatibility/2006">
          <mc:Choice Requires="x14">
            <control shapeId="101486" r:id="rId31" name="Check Box 110">
              <controlPr defaultSize="0" autoFill="0" autoLine="0" autoPict="0">
                <anchor moveWithCells="1" sizeWithCells="1">
                  <from>
                    <xdr:col>0</xdr:col>
                    <xdr:colOff>9525</xdr:colOff>
                    <xdr:row>67</xdr:row>
                    <xdr:rowOff>161925</xdr:rowOff>
                  </from>
                  <to>
                    <xdr:col>1</xdr:col>
                    <xdr:colOff>114300</xdr:colOff>
                    <xdr:row>69</xdr:row>
                    <xdr:rowOff>19050</xdr:rowOff>
                  </to>
                </anchor>
              </controlPr>
            </control>
          </mc:Choice>
        </mc:AlternateContent>
        <mc:AlternateContent xmlns:mc="http://schemas.openxmlformats.org/markup-compatibility/2006">
          <mc:Choice Requires="x14">
            <control shapeId="101488" r:id="rId32" name="Check Box 112">
              <controlPr defaultSize="0" autoFill="0" autoLine="0" autoPict="0">
                <anchor moveWithCells="1" sizeWithCells="1">
                  <from>
                    <xdr:col>0</xdr:col>
                    <xdr:colOff>9525</xdr:colOff>
                    <xdr:row>68</xdr:row>
                    <xdr:rowOff>152400</xdr:rowOff>
                  </from>
                  <to>
                    <xdr:col>1</xdr:col>
                    <xdr:colOff>114300</xdr:colOff>
                    <xdr:row>70</xdr:row>
                    <xdr:rowOff>9525</xdr:rowOff>
                  </to>
                </anchor>
              </controlPr>
            </control>
          </mc:Choice>
        </mc:AlternateContent>
        <mc:AlternateContent xmlns:mc="http://schemas.openxmlformats.org/markup-compatibility/2006">
          <mc:Choice Requires="x14">
            <control shapeId="101489" r:id="rId33" name="Check Box 113">
              <controlPr defaultSize="0" autoFill="0" autoLine="0" autoPict="0">
                <anchor moveWithCells="1" sizeWithCells="1">
                  <from>
                    <xdr:col>0</xdr:col>
                    <xdr:colOff>9525</xdr:colOff>
                    <xdr:row>70</xdr:row>
                    <xdr:rowOff>161925</xdr:rowOff>
                  </from>
                  <to>
                    <xdr:col>1</xdr:col>
                    <xdr:colOff>114300</xdr:colOff>
                    <xdr:row>72</xdr:row>
                    <xdr:rowOff>19050</xdr:rowOff>
                  </to>
                </anchor>
              </controlPr>
            </control>
          </mc:Choice>
        </mc:AlternateContent>
        <mc:AlternateContent xmlns:mc="http://schemas.openxmlformats.org/markup-compatibility/2006">
          <mc:Choice Requires="x14">
            <control shapeId="101490" r:id="rId34" name="Check Box 114">
              <controlPr defaultSize="0" autoFill="0" autoLine="0" autoPict="0">
                <anchor moveWithCells="1" sizeWithCells="1">
                  <from>
                    <xdr:col>0</xdr:col>
                    <xdr:colOff>9525</xdr:colOff>
                    <xdr:row>71</xdr:row>
                    <xdr:rowOff>161925</xdr:rowOff>
                  </from>
                  <to>
                    <xdr:col>1</xdr:col>
                    <xdr:colOff>114300</xdr:colOff>
                    <xdr:row>73</xdr:row>
                    <xdr:rowOff>19050</xdr:rowOff>
                  </to>
                </anchor>
              </controlPr>
            </control>
          </mc:Choice>
        </mc:AlternateContent>
        <mc:AlternateContent xmlns:mc="http://schemas.openxmlformats.org/markup-compatibility/2006">
          <mc:Choice Requires="x14">
            <control shapeId="101493" r:id="rId35" name="Check Box 117">
              <controlPr defaultSize="0" autoFill="0" autoLine="0" autoPict="0">
                <anchor moveWithCells="1" sizeWithCells="1">
                  <from>
                    <xdr:col>7</xdr:col>
                    <xdr:colOff>0</xdr:colOff>
                    <xdr:row>60</xdr:row>
                    <xdr:rowOff>133350</xdr:rowOff>
                  </from>
                  <to>
                    <xdr:col>8</xdr:col>
                    <xdr:colOff>95250</xdr:colOff>
                    <xdr:row>62</xdr:row>
                    <xdr:rowOff>19050</xdr:rowOff>
                  </to>
                </anchor>
              </controlPr>
            </control>
          </mc:Choice>
        </mc:AlternateContent>
        <mc:AlternateContent xmlns:mc="http://schemas.openxmlformats.org/markup-compatibility/2006">
          <mc:Choice Requires="x14">
            <control shapeId="101494" r:id="rId36" name="Check Box 118">
              <controlPr defaultSize="0" autoFill="0" autoLine="0" autoPict="0">
                <anchor moveWithCells="1" sizeWithCells="1">
                  <from>
                    <xdr:col>7</xdr:col>
                    <xdr:colOff>0</xdr:colOff>
                    <xdr:row>61</xdr:row>
                    <xdr:rowOff>161925</xdr:rowOff>
                  </from>
                  <to>
                    <xdr:col>8</xdr:col>
                    <xdr:colOff>95250</xdr:colOff>
                    <xdr:row>63</xdr:row>
                    <xdr:rowOff>19050</xdr:rowOff>
                  </to>
                </anchor>
              </controlPr>
            </control>
          </mc:Choice>
        </mc:AlternateContent>
        <mc:AlternateContent xmlns:mc="http://schemas.openxmlformats.org/markup-compatibility/2006">
          <mc:Choice Requires="x14">
            <control shapeId="101495" r:id="rId37" name="Check Box 119">
              <controlPr defaultSize="0" autoFill="0" autoLine="0" autoPict="0">
                <anchor moveWithCells="1" sizeWithCells="1">
                  <from>
                    <xdr:col>7</xdr:col>
                    <xdr:colOff>0</xdr:colOff>
                    <xdr:row>62</xdr:row>
                    <xdr:rowOff>171450</xdr:rowOff>
                  </from>
                  <to>
                    <xdr:col>8</xdr:col>
                    <xdr:colOff>95250</xdr:colOff>
                    <xdr:row>64</xdr:row>
                    <xdr:rowOff>28575</xdr:rowOff>
                  </to>
                </anchor>
              </controlPr>
            </control>
          </mc:Choice>
        </mc:AlternateContent>
        <mc:AlternateContent xmlns:mc="http://schemas.openxmlformats.org/markup-compatibility/2006">
          <mc:Choice Requires="x14">
            <control shapeId="101496" r:id="rId38" name="Check Box 120">
              <controlPr defaultSize="0" autoFill="0" autoLine="0" autoPict="0">
                <anchor moveWithCells="1" sizeWithCells="1">
                  <from>
                    <xdr:col>7</xdr:col>
                    <xdr:colOff>0</xdr:colOff>
                    <xdr:row>63</xdr:row>
                    <xdr:rowOff>171450</xdr:rowOff>
                  </from>
                  <to>
                    <xdr:col>8</xdr:col>
                    <xdr:colOff>95250</xdr:colOff>
                    <xdr:row>65</xdr:row>
                    <xdr:rowOff>28575</xdr:rowOff>
                  </to>
                </anchor>
              </controlPr>
            </control>
          </mc:Choice>
        </mc:AlternateContent>
        <mc:AlternateContent xmlns:mc="http://schemas.openxmlformats.org/markup-compatibility/2006">
          <mc:Choice Requires="x14">
            <control shapeId="101497" r:id="rId39" name="Check Box 121">
              <controlPr defaultSize="0" autoFill="0" autoLine="0" autoPict="0">
                <anchor moveWithCells="1" sizeWithCells="1">
                  <from>
                    <xdr:col>7</xdr:col>
                    <xdr:colOff>0</xdr:colOff>
                    <xdr:row>64</xdr:row>
                    <xdr:rowOff>171450</xdr:rowOff>
                  </from>
                  <to>
                    <xdr:col>8</xdr:col>
                    <xdr:colOff>95250</xdr:colOff>
                    <xdr:row>66</xdr:row>
                    <xdr:rowOff>19050</xdr:rowOff>
                  </to>
                </anchor>
              </controlPr>
            </control>
          </mc:Choice>
        </mc:AlternateContent>
        <mc:AlternateContent xmlns:mc="http://schemas.openxmlformats.org/markup-compatibility/2006">
          <mc:Choice Requires="x14">
            <control shapeId="101498" r:id="rId40" name="Check Box 122">
              <controlPr defaultSize="0" autoFill="0" autoLine="0" autoPict="0">
                <anchor moveWithCells="1" sizeWithCells="1">
                  <from>
                    <xdr:col>7</xdr:col>
                    <xdr:colOff>0</xdr:colOff>
                    <xdr:row>65</xdr:row>
                    <xdr:rowOff>161925</xdr:rowOff>
                  </from>
                  <to>
                    <xdr:col>8</xdr:col>
                    <xdr:colOff>95250</xdr:colOff>
                    <xdr:row>67</xdr:row>
                    <xdr:rowOff>19050</xdr:rowOff>
                  </to>
                </anchor>
              </controlPr>
            </control>
          </mc:Choice>
        </mc:AlternateContent>
        <mc:AlternateContent xmlns:mc="http://schemas.openxmlformats.org/markup-compatibility/2006">
          <mc:Choice Requires="x14">
            <control shapeId="101499" r:id="rId41" name="Check Box 123">
              <controlPr defaultSize="0" autoFill="0" autoLine="0" autoPict="0">
                <anchor moveWithCells="1" sizeWithCells="1">
                  <from>
                    <xdr:col>7</xdr:col>
                    <xdr:colOff>0</xdr:colOff>
                    <xdr:row>66</xdr:row>
                    <xdr:rowOff>161925</xdr:rowOff>
                  </from>
                  <to>
                    <xdr:col>8</xdr:col>
                    <xdr:colOff>95250</xdr:colOff>
                    <xdr:row>68</xdr:row>
                    <xdr:rowOff>19050</xdr:rowOff>
                  </to>
                </anchor>
              </controlPr>
            </control>
          </mc:Choice>
        </mc:AlternateContent>
        <mc:AlternateContent xmlns:mc="http://schemas.openxmlformats.org/markup-compatibility/2006">
          <mc:Choice Requires="x14">
            <control shapeId="101500" r:id="rId42" name="Check Box 124">
              <controlPr defaultSize="0" autoFill="0" autoLine="0" autoPict="0">
                <anchor moveWithCells="1" sizeWithCells="1">
                  <from>
                    <xdr:col>7</xdr:col>
                    <xdr:colOff>0</xdr:colOff>
                    <xdr:row>67</xdr:row>
                    <xdr:rowOff>161925</xdr:rowOff>
                  </from>
                  <to>
                    <xdr:col>8</xdr:col>
                    <xdr:colOff>95250</xdr:colOff>
                    <xdr:row>69</xdr:row>
                    <xdr:rowOff>19050</xdr:rowOff>
                  </to>
                </anchor>
              </controlPr>
            </control>
          </mc:Choice>
        </mc:AlternateContent>
        <mc:AlternateContent xmlns:mc="http://schemas.openxmlformats.org/markup-compatibility/2006">
          <mc:Choice Requires="x14">
            <control shapeId="101501" r:id="rId43" name="Check Box 125">
              <controlPr defaultSize="0" autoFill="0" autoLine="0" autoPict="0">
                <anchor moveWithCells="1" sizeWithCells="1">
                  <from>
                    <xdr:col>7</xdr:col>
                    <xdr:colOff>0</xdr:colOff>
                    <xdr:row>68</xdr:row>
                    <xdr:rowOff>152400</xdr:rowOff>
                  </from>
                  <to>
                    <xdr:col>8</xdr:col>
                    <xdr:colOff>95250</xdr:colOff>
                    <xdr:row>70</xdr:row>
                    <xdr:rowOff>9525</xdr:rowOff>
                  </to>
                </anchor>
              </controlPr>
            </control>
          </mc:Choice>
        </mc:AlternateContent>
        <mc:AlternateContent xmlns:mc="http://schemas.openxmlformats.org/markup-compatibility/2006">
          <mc:Choice Requires="x14">
            <control shapeId="101506" r:id="rId44" name="Check Box 130">
              <controlPr defaultSize="0" autoFill="0" autoLine="0" autoPict="0">
                <anchor moveWithCells="1" sizeWithCells="1">
                  <from>
                    <xdr:col>13</xdr:col>
                    <xdr:colOff>190500</xdr:colOff>
                    <xdr:row>61</xdr:row>
                    <xdr:rowOff>0</xdr:rowOff>
                  </from>
                  <to>
                    <xdr:col>15</xdr:col>
                    <xdr:colOff>123825</xdr:colOff>
                    <xdr:row>62</xdr:row>
                    <xdr:rowOff>19050</xdr:rowOff>
                  </to>
                </anchor>
              </controlPr>
            </control>
          </mc:Choice>
        </mc:AlternateContent>
        <mc:AlternateContent xmlns:mc="http://schemas.openxmlformats.org/markup-compatibility/2006">
          <mc:Choice Requires="x14">
            <control shapeId="101507" r:id="rId45" name="Check Box 131">
              <controlPr defaultSize="0" autoFill="0" autoLine="0" autoPict="0">
                <anchor moveWithCells="1" sizeWithCells="1">
                  <from>
                    <xdr:col>13</xdr:col>
                    <xdr:colOff>190500</xdr:colOff>
                    <xdr:row>61</xdr:row>
                    <xdr:rowOff>171450</xdr:rowOff>
                  </from>
                  <to>
                    <xdr:col>15</xdr:col>
                    <xdr:colOff>123825</xdr:colOff>
                    <xdr:row>63</xdr:row>
                    <xdr:rowOff>0</xdr:rowOff>
                  </to>
                </anchor>
              </controlPr>
            </control>
          </mc:Choice>
        </mc:AlternateContent>
        <mc:AlternateContent xmlns:mc="http://schemas.openxmlformats.org/markup-compatibility/2006">
          <mc:Choice Requires="x14">
            <control shapeId="101525" r:id="rId46" name="Check Box 149">
              <controlPr defaultSize="0" autoFill="0" autoLine="0" autoPict="0">
                <anchor moveWithCells="1" sizeWithCells="1">
                  <from>
                    <xdr:col>23</xdr:col>
                    <xdr:colOff>0</xdr:colOff>
                    <xdr:row>60</xdr:row>
                    <xdr:rowOff>133350</xdr:rowOff>
                  </from>
                  <to>
                    <xdr:col>24</xdr:col>
                    <xdr:colOff>133350</xdr:colOff>
                    <xdr:row>62</xdr:row>
                    <xdr:rowOff>19050</xdr:rowOff>
                  </to>
                </anchor>
              </controlPr>
            </control>
          </mc:Choice>
        </mc:AlternateContent>
        <mc:AlternateContent xmlns:mc="http://schemas.openxmlformats.org/markup-compatibility/2006">
          <mc:Choice Requires="x14">
            <control shapeId="101526" r:id="rId47" name="Check Box 150">
              <controlPr defaultSize="0" autoFill="0" autoLine="0" autoPict="0">
                <anchor moveWithCells="1" sizeWithCells="1">
                  <from>
                    <xdr:col>23</xdr:col>
                    <xdr:colOff>0</xdr:colOff>
                    <xdr:row>61</xdr:row>
                    <xdr:rowOff>161925</xdr:rowOff>
                  </from>
                  <to>
                    <xdr:col>24</xdr:col>
                    <xdr:colOff>133350</xdr:colOff>
                    <xdr:row>63</xdr:row>
                    <xdr:rowOff>9525</xdr:rowOff>
                  </to>
                </anchor>
              </controlPr>
            </control>
          </mc:Choice>
        </mc:AlternateContent>
        <mc:AlternateContent xmlns:mc="http://schemas.openxmlformats.org/markup-compatibility/2006">
          <mc:Choice Requires="x14">
            <control shapeId="101527" r:id="rId48" name="Check Box 151">
              <controlPr defaultSize="0" autoFill="0" autoLine="0" autoPict="0">
                <anchor moveWithCells="1" sizeWithCells="1">
                  <from>
                    <xdr:col>23</xdr:col>
                    <xdr:colOff>0</xdr:colOff>
                    <xdr:row>62</xdr:row>
                    <xdr:rowOff>152400</xdr:rowOff>
                  </from>
                  <to>
                    <xdr:col>24</xdr:col>
                    <xdr:colOff>133350</xdr:colOff>
                    <xdr:row>64</xdr:row>
                    <xdr:rowOff>9525</xdr:rowOff>
                  </to>
                </anchor>
              </controlPr>
            </control>
          </mc:Choice>
        </mc:AlternateContent>
        <mc:AlternateContent xmlns:mc="http://schemas.openxmlformats.org/markup-compatibility/2006">
          <mc:Choice Requires="x14">
            <control shapeId="101511" r:id="rId49" name="Check Box 135">
              <controlPr defaultSize="0" autoFill="0" autoLine="0" autoPict="0">
                <anchor moveWithCells="1" sizeWithCells="1">
                  <from>
                    <xdr:col>13</xdr:col>
                    <xdr:colOff>190500</xdr:colOff>
                    <xdr:row>65</xdr:row>
                    <xdr:rowOff>152400</xdr:rowOff>
                  </from>
                  <to>
                    <xdr:col>15</xdr:col>
                    <xdr:colOff>123825</xdr:colOff>
                    <xdr:row>67</xdr:row>
                    <xdr:rowOff>0</xdr:rowOff>
                  </to>
                </anchor>
              </controlPr>
            </control>
          </mc:Choice>
        </mc:AlternateContent>
        <mc:AlternateContent xmlns:mc="http://schemas.openxmlformats.org/markup-compatibility/2006">
          <mc:Choice Requires="x14">
            <control shapeId="101514" r:id="rId50" name="Check Box 138">
              <controlPr defaultSize="0" autoFill="0" autoLine="0" autoPict="0">
                <anchor moveWithCells="1" sizeWithCells="1">
                  <from>
                    <xdr:col>13</xdr:col>
                    <xdr:colOff>190500</xdr:colOff>
                    <xdr:row>68</xdr:row>
                    <xdr:rowOff>161925</xdr:rowOff>
                  </from>
                  <to>
                    <xdr:col>15</xdr:col>
                    <xdr:colOff>123825</xdr:colOff>
                    <xdr:row>70</xdr:row>
                    <xdr:rowOff>19050</xdr:rowOff>
                  </to>
                </anchor>
              </controlPr>
            </control>
          </mc:Choice>
        </mc:AlternateContent>
        <mc:AlternateContent xmlns:mc="http://schemas.openxmlformats.org/markup-compatibility/2006">
          <mc:Choice Requires="x14">
            <control shapeId="101568" r:id="rId51" name="SD_1x1_93x1_62_S_0">
              <controlPr defaultSize="0" autoFill="0" autoLine="0" autoPict="0">
                <anchor moveWithCells="1" sizeWithCells="1">
                  <from>
                    <xdr:col>13</xdr:col>
                    <xdr:colOff>190500</xdr:colOff>
                    <xdr:row>64</xdr:row>
                    <xdr:rowOff>152400</xdr:rowOff>
                  </from>
                  <to>
                    <xdr:col>15</xdr:col>
                    <xdr:colOff>85725</xdr:colOff>
                    <xdr:row>66</xdr:row>
                    <xdr:rowOff>0</xdr:rowOff>
                  </to>
                </anchor>
              </controlPr>
            </control>
          </mc:Choice>
        </mc:AlternateContent>
        <mc:AlternateContent xmlns:mc="http://schemas.openxmlformats.org/markup-compatibility/2006">
          <mc:Choice Requires="x14">
            <control shapeId="101570" r:id="rId52" name="SD_1x1_93x1_69_S_0">
              <controlPr defaultSize="0" autoFill="0" autoLine="0" autoPict="0">
                <anchor moveWithCells="1" sizeWithCells="1">
                  <from>
                    <xdr:col>13</xdr:col>
                    <xdr:colOff>190500</xdr:colOff>
                    <xdr:row>66</xdr:row>
                    <xdr:rowOff>152400</xdr:rowOff>
                  </from>
                  <to>
                    <xdr:col>15</xdr:col>
                    <xdr:colOff>85725</xdr:colOff>
                    <xdr:row>68</xdr:row>
                    <xdr:rowOff>9525</xdr:rowOff>
                  </to>
                </anchor>
              </controlPr>
            </control>
          </mc:Choice>
        </mc:AlternateContent>
        <mc:AlternateContent xmlns:mc="http://schemas.openxmlformats.org/markup-compatibility/2006">
          <mc:Choice Requires="x14">
            <control shapeId="101574" r:id="rId53" name="SD_1x1_93x1_65_S_0">
              <controlPr defaultSize="0" autoFill="0" autoLine="0" autoPict="0">
                <anchor moveWithCells="1" sizeWithCells="1">
                  <from>
                    <xdr:col>13</xdr:col>
                    <xdr:colOff>190500</xdr:colOff>
                    <xdr:row>69</xdr:row>
                    <xdr:rowOff>161925</xdr:rowOff>
                  </from>
                  <to>
                    <xdr:col>15</xdr:col>
                    <xdr:colOff>85725</xdr:colOff>
                    <xdr:row>71</xdr:row>
                    <xdr:rowOff>9525</xdr:rowOff>
                  </to>
                </anchor>
              </controlPr>
            </control>
          </mc:Choice>
        </mc:AlternateContent>
        <mc:AlternateContent xmlns:mc="http://schemas.openxmlformats.org/markup-compatibility/2006">
          <mc:Choice Requires="x14">
            <control shapeId="101576" r:id="rId54" name="SD_1x1_93x1_66_S_0">
              <controlPr defaultSize="0" autoFill="0" autoLine="0" autoPict="0">
                <anchor moveWithCells="1" sizeWithCells="1">
                  <from>
                    <xdr:col>13</xdr:col>
                    <xdr:colOff>190500</xdr:colOff>
                    <xdr:row>70</xdr:row>
                    <xdr:rowOff>161925</xdr:rowOff>
                  </from>
                  <to>
                    <xdr:col>15</xdr:col>
                    <xdr:colOff>85725</xdr:colOff>
                    <xdr:row>72</xdr:row>
                    <xdr:rowOff>9525</xdr:rowOff>
                  </to>
                </anchor>
              </controlPr>
            </control>
          </mc:Choice>
        </mc:AlternateContent>
        <mc:AlternateContent xmlns:mc="http://schemas.openxmlformats.org/markup-compatibility/2006">
          <mc:Choice Requires="x14">
            <control shapeId="101578" r:id="rId55" name="SD_1x1_93x1_68_S_0">
              <controlPr defaultSize="0" autoFill="0" autoLine="0" autoPict="0">
                <anchor moveWithCells="1" sizeWithCells="1">
                  <from>
                    <xdr:col>13</xdr:col>
                    <xdr:colOff>190500</xdr:colOff>
                    <xdr:row>71</xdr:row>
                    <xdr:rowOff>161925</xdr:rowOff>
                  </from>
                  <to>
                    <xdr:col>15</xdr:col>
                    <xdr:colOff>95250</xdr:colOff>
                    <xdr:row>73</xdr:row>
                    <xdr:rowOff>19050</xdr:rowOff>
                  </to>
                </anchor>
              </controlPr>
            </control>
          </mc:Choice>
        </mc:AlternateContent>
        <mc:AlternateContent xmlns:mc="http://schemas.openxmlformats.org/markup-compatibility/2006">
          <mc:Choice Requires="x14">
            <control shapeId="101580" r:id="rId56" name="SD_1x1_93x1_67_S_0">
              <controlPr defaultSize="0" autoFill="0" autoLine="0" autoPict="0">
                <anchor moveWithCells="1" sizeWithCells="1">
                  <from>
                    <xdr:col>13</xdr:col>
                    <xdr:colOff>190500</xdr:colOff>
                    <xdr:row>72</xdr:row>
                    <xdr:rowOff>161925</xdr:rowOff>
                  </from>
                  <to>
                    <xdr:col>15</xdr:col>
                    <xdr:colOff>85725</xdr:colOff>
                    <xdr:row>74</xdr:row>
                    <xdr:rowOff>38100</xdr:rowOff>
                  </to>
                </anchor>
              </controlPr>
            </control>
          </mc:Choice>
        </mc:AlternateContent>
        <mc:AlternateContent xmlns:mc="http://schemas.openxmlformats.org/markup-compatibility/2006">
          <mc:Choice Requires="x14">
            <control shapeId="101582" r:id="rId57" name="SD_1x1_93x1_63_S_0">
              <controlPr defaultSize="0" autoFill="0" autoLine="0" autoPict="0">
                <anchor moveWithCells="1" sizeWithCells="1">
                  <from>
                    <xdr:col>13</xdr:col>
                    <xdr:colOff>190500</xdr:colOff>
                    <xdr:row>73</xdr:row>
                    <xdr:rowOff>142875</xdr:rowOff>
                  </from>
                  <to>
                    <xdr:col>15</xdr:col>
                    <xdr:colOff>95250</xdr:colOff>
                    <xdr:row>75</xdr:row>
                    <xdr:rowOff>38100</xdr:rowOff>
                  </to>
                </anchor>
              </controlPr>
            </control>
          </mc:Choice>
        </mc:AlternateContent>
        <mc:AlternateContent xmlns:mc="http://schemas.openxmlformats.org/markup-compatibility/2006">
          <mc:Choice Requires="x14">
            <control shapeId="101584" r:id="rId58" name="SD_1x1_93x1_64_S_0">
              <controlPr defaultSize="0" autoFill="0" autoLine="0" autoPict="0">
                <anchor moveWithCells="1" sizeWithCells="1">
                  <from>
                    <xdr:col>13</xdr:col>
                    <xdr:colOff>190500</xdr:colOff>
                    <xdr:row>74</xdr:row>
                    <xdr:rowOff>152400</xdr:rowOff>
                  </from>
                  <to>
                    <xdr:col>15</xdr:col>
                    <xdr:colOff>95250</xdr:colOff>
                    <xdr:row>76</xdr:row>
                    <xdr:rowOff>28575</xdr:rowOff>
                  </to>
                </anchor>
              </controlPr>
            </control>
          </mc:Choice>
        </mc:AlternateContent>
        <mc:AlternateContent xmlns:mc="http://schemas.openxmlformats.org/markup-compatibility/2006">
          <mc:Choice Requires="x14">
            <control shapeId="101591" r:id="rId59" name="SD_1x1_93x1_117x1_15_S_0">
              <controlPr defaultSize="0" autoFill="0" autoLine="0" autoPict="0">
                <anchor moveWithCells="1" sizeWithCells="1">
                  <from>
                    <xdr:col>13</xdr:col>
                    <xdr:colOff>190500</xdr:colOff>
                    <xdr:row>67</xdr:row>
                    <xdr:rowOff>171450</xdr:rowOff>
                  </from>
                  <to>
                    <xdr:col>15</xdr:col>
                    <xdr:colOff>85725</xdr:colOff>
                    <xdr:row>69</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X68"/>
  <sheetViews>
    <sheetView showGridLines="0" zoomScaleNormal="100" workbookViewId="0">
      <selection activeCell="A2" sqref="A2:AO2"/>
    </sheetView>
  </sheetViews>
  <sheetFormatPr defaultRowHeight="12.75"/>
  <cols>
    <col min="1" max="17" width="2.85546875" customWidth="1"/>
    <col min="18" max="18" width="3.42578125" customWidth="1"/>
    <col min="19" max="27" width="2.85546875" customWidth="1"/>
    <col min="28" max="28" width="3.28515625" customWidth="1"/>
    <col min="29" max="40" width="2.85546875" customWidth="1"/>
    <col min="41" max="41" width="3.140625" customWidth="1"/>
    <col min="42" max="42" width="5.5703125" customWidth="1"/>
  </cols>
  <sheetData>
    <row r="1" spans="1:45" s="16" customFormat="1" ht="15.75">
      <c r="A1" s="1560">
        <f>'General '!A45</f>
        <v>0</v>
      </c>
      <c r="B1" s="1561"/>
      <c r="C1" s="1561"/>
      <c r="D1" s="1561"/>
      <c r="E1" s="1561"/>
      <c r="F1" s="1561"/>
      <c r="G1" s="1561"/>
      <c r="H1" s="1561"/>
      <c r="I1" s="1561"/>
      <c r="J1" s="1561"/>
      <c r="K1" s="1561"/>
      <c r="L1" s="1561"/>
      <c r="M1" s="1561"/>
      <c r="N1" s="1561"/>
      <c r="O1" s="1561"/>
      <c r="P1" s="1561"/>
      <c r="Q1" s="1561"/>
      <c r="R1" s="1561"/>
      <c r="S1" s="1561"/>
      <c r="T1" s="1561"/>
      <c r="U1" s="1561"/>
      <c r="V1" s="1561"/>
      <c r="W1" s="1561"/>
      <c r="X1" s="1561"/>
      <c r="Y1" s="1561"/>
      <c r="Z1" s="1561"/>
      <c r="AA1" s="1561"/>
      <c r="AB1" s="1561"/>
      <c r="AC1" s="1561"/>
      <c r="AD1" s="1561"/>
      <c r="AE1" s="1561"/>
      <c r="AF1" s="1561"/>
      <c r="AG1" s="1561"/>
      <c r="AH1" s="1561"/>
      <c r="AI1" s="1561"/>
      <c r="AJ1" s="1561"/>
      <c r="AK1" s="1561"/>
      <c r="AL1" s="1561"/>
      <c r="AM1" s="1561"/>
      <c r="AN1" s="1561"/>
      <c r="AO1" s="1562"/>
      <c r="AP1" s="73"/>
      <c r="AQ1" s="73"/>
      <c r="AR1" s="73"/>
    </row>
    <row r="2" spans="1:45" s="16" customFormat="1" ht="18" customHeight="1" thickBot="1">
      <c r="A2" s="1485" t="s">
        <v>38</v>
      </c>
      <c r="B2" s="1486"/>
      <c r="C2" s="1486"/>
      <c r="D2" s="1486"/>
      <c r="E2" s="1486"/>
      <c r="F2" s="1486"/>
      <c r="G2" s="1486"/>
      <c r="H2" s="1486"/>
      <c r="I2" s="1486"/>
      <c r="J2" s="1486"/>
      <c r="K2" s="1486"/>
      <c r="L2" s="1486"/>
      <c r="M2" s="1486"/>
      <c r="N2" s="1486"/>
      <c r="O2" s="1486"/>
      <c r="P2" s="1486"/>
      <c r="Q2" s="1486"/>
      <c r="R2" s="1486"/>
      <c r="S2" s="1486"/>
      <c r="T2" s="1486"/>
      <c r="U2" s="1486"/>
      <c r="V2" s="1486"/>
      <c r="W2" s="1486"/>
      <c r="X2" s="1486"/>
      <c r="Y2" s="1486"/>
      <c r="Z2" s="1486"/>
      <c r="AA2" s="1486"/>
      <c r="AB2" s="1486"/>
      <c r="AC2" s="1486"/>
      <c r="AD2" s="1486"/>
      <c r="AE2" s="1486"/>
      <c r="AF2" s="1486"/>
      <c r="AG2" s="1486"/>
      <c r="AH2" s="1486"/>
      <c r="AI2" s="1486"/>
      <c r="AJ2" s="1486"/>
      <c r="AK2" s="1486"/>
      <c r="AL2" s="1486"/>
      <c r="AM2" s="1486"/>
      <c r="AN2" s="1486"/>
      <c r="AO2" s="1487"/>
    </row>
    <row r="3" spans="1:45" ht="16.5" thickBot="1">
      <c r="A3" s="1896" t="s">
        <v>240</v>
      </c>
      <c r="B3" s="1901"/>
      <c r="C3" s="1901"/>
      <c r="D3" s="1901"/>
      <c r="E3" s="1901"/>
      <c r="F3" s="1901"/>
      <c r="G3" s="1901"/>
      <c r="H3" s="1901"/>
      <c r="I3" s="1901"/>
      <c r="J3" s="1901"/>
      <c r="K3" s="1901"/>
      <c r="L3" s="1902"/>
      <c r="M3" s="207"/>
      <c r="N3" s="190"/>
      <c r="O3" s="1894" t="s">
        <v>714</v>
      </c>
      <c r="P3" s="1894"/>
      <c r="Q3" s="1894"/>
      <c r="R3" s="1894"/>
      <c r="S3" s="1894"/>
      <c r="T3" s="1894"/>
      <c r="U3" s="1894"/>
      <c r="V3" s="1894"/>
      <c r="W3" s="1894"/>
      <c r="X3" s="1894"/>
      <c r="Y3" s="1894"/>
      <c r="Z3" s="191"/>
      <c r="AA3" s="207"/>
      <c r="AB3" s="1896" t="s">
        <v>235</v>
      </c>
      <c r="AC3" s="1894"/>
      <c r="AD3" s="1894"/>
      <c r="AE3" s="1894"/>
      <c r="AF3" s="1894"/>
      <c r="AG3" s="1894"/>
      <c r="AH3" s="1894"/>
      <c r="AI3" s="1894"/>
      <c r="AJ3" s="1894"/>
      <c r="AK3" s="1894"/>
      <c r="AL3" s="1894"/>
      <c r="AM3" s="1894"/>
      <c r="AN3" s="1894"/>
      <c r="AO3" s="1897"/>
    </row>
    <row r="4" spans="1:45">
      <c r="A4" s="1898" t="s">
        <v>241</v>
      </c>
      <c r="B4" s="1899"/>
      <c r="C4" s="1899"/>
      <c r="D4" s="1899"/>
      <c r="E4" s="1900"/>
      <c r="F4" s="1900"/>
      <c r="G4" s="1900"/>
      <c r="H4" s="1900"/>
      <c r="I4" s="1900"/>
      <c r="J4" s="1900"/>
      <c r="K4" s="1900"/>
      <c r="L4" s="91"/>
      <c r="M4" s="48"/>
      <c r="N4" s="10"/>
      <c r="Z4" s="11"/>
      <c r="AA4" s="48"/>
      <c r="AB4" s="10"/>
      <c r="AO4" s="11"/>
    </row>
    <row r="5" spans="1:45">
      <c r="A5" s="10" t="s">
        <v>715</v>
      </c>
      <c r="I5" s="1895"/>
      <c r="J5" s="1831"/>
      <c r="K5" s="1832"/>
      <c r="L5" s="11" t="s">
        <v>434</v>
      </c>
      <c r="M5" s="48"/>
      <c r="N5" s="10"/>
      <c r="O5" s="44" t="s">
        <v>283</v>
      </c>
      <c r="P5" s="44"/>
      <c r="Q5" s="44"/>
      <c r="R5" s="44"/>
      <c r="S5" s="44"/>
      <c r="T5" s="44"/>
      <c r="U5" s="44"/>
      <c r="V5" s="44"/>
      <c r="W5" s="44"/>
      <c r="X5" s="44"/>
      <c r="Y5" s="44"/>
      <c r="Z5" s="11"/>
      <c r="AA5" s="48"/>
      <c r="AB5" s="10"/>
      <c r="AC5" s="1411" t="s">
        <v>285</v>
      </c>
      <c r="AD5" s="1411"/>
      <c r="AE5" s="1411"/>
      <c r="AF5" s="1411"/>
      <c r="AG5" s="1411"/>
      <c r="AH5" s="1411"/>
      <c r="AI5" s="1411"/>
      <c r="AJ5" s="1411"/>
      <c r="AK5" s="1411"/>
      <c r="AL5" s="1411"/>
      <c r="AM5" s="1411"/>
      <c r="AN5" s="59"/>
      <c r="AO5" s="174"/>
      <c r="AR5" s="18"/>
      <c r="AS5" s="18"/>
    </row>
    <row r="6" spans="1:45">
      <c r="A6" s="10" t="s">
        <v>724</v>
      </c>
      <c r="I6" s="1895"/>
      <c r="J6" s="1831"/>
      <c r="K6" s="1832"/>
      <c r="L6" s="11"/>
      <c r="M6" s="48"/>
      <c r="N6" s="10"/>
      <c r="O6" t="s">
        <v>244</v>
      </c>
      <c r="X6" s="1740"/>
      <c r="Y6" s="1806"/>
      <c r="Z6" s="11"/>
      <c r="AA6" s="48"/>
      <c r="AB6" s="10"/>
      <c r="AC6" t="s">
        <v>723</v>
      </c>
      <c r="AK6" s="1895"/>
      <c r="AL6" s="1831"/>
      <c r="AM6" s="1832"/>
      <c r="AO6" s="174"/>
    </row>
    <row r="7" spans="1:45">
      <c r="A7" s="10" t="s">
        <v>727</v>
      </c>
      <c r="I7" s="1895"/>
      <c r="J7" s="1831"/>
      <c r="K7" s="1832"/>
      <c r="L7" s="11"/>
      <c r="M7" s="48"/>
      <c r="N7" s="10"/>
      <c r="O7" t="s">
        <v>725</v>
      </c>
      <c r="X7" s="1740"/>
      <c r="Y7" s="1806"/>
      <c r="Z7" s="11"/>
      <c r="AA7" s="48"/>
      <c r="AB7" s="10"/>
      <c r="AC7" t="s">
        <v>726</v>
      </c>
      <c r="AK7" s="1895"/>
      <c r="AL7" s="1831"/>
      <c r="AM7" s="1832"/>
      <c r="AO7" s="174"/>
    </row>
    <row r="8" spans="1:45" ht="13.5" thickBot="1">
      <c r="A8" s="10" t="s">
        <v>730</v>
      </c>
      <c r="H8" s="3"/>
      <c r="I8" s="1911"/>
      <c r="J8" s="1909"/>
      <c r="K8" s="1910"/>
      <c r="L8" s="11"/>
      <c r="M8" s="48"/>
      <c r="N8" s="10"/>
      <c r="O8" t="s">
        <v>728</v>
      </c>
      <c r="X8" s="1740"/>
      <c r="Y8" s="1806"/>
      <c r="Z8" s="11"/>
      <c r="AA8" s="48"/>
      <c r="AB8" s="10"/>
      <c r="AC8" t="s">
        <v>729</v>
      </c>
      <c r="AK8" s="1895"/>
      <c r="AL8" s="1831"/>
      <c r="AM8" s="1832"/>
      <c r="AO8" s="174"/>
    </row>
    <row r="9" spans="1:45" ht="13.5" thickBot="1">
      <c r="A9" s="10"/>
      <c r="G9" s="14"/>
      <c r="H9" s="60" t="s">
        <v>282</v>
      </c>
      <c r="I9" s="1871">
        <f>SUM(I5:K8)</f>
        <v>0</v>
      </c>
      <c r="J9" s="1721"/>
      <c r="K9" s="1722"/>
      <c r="L9" s="11"/>
      <c r="M9" s="48"/>
      <c r="N9" s="10"/>
      <c r="O9" t="s">
        <v>731</v>
      </c>
      <c r="X9" s="1740"/>
      <c r="Y9" s="1806"/>
      <c r="Z9" s="11"/>
      <c r="AA9" s="48"/>
      <c r="AB9" s="10"/>
      <c r="AC9" t="s">
        <v>732</v>
      </c>
      <c r="AK9" s="1895"/>
      <c r="AL9" s="1831"/>
      <c r="AM9" s="1832"/>
      <c r="AO9" s="175"/>
    </row>
    <row r="10" spans="1:45" ht="13.5" thickBot="1">
      <c r="A10" s="10" t="s">
        <v>734</v>
      </c>
      <c r="I10" s="1906"/>
      <c r="J10" s="1907"/>
      <c r="K10" s="1908"/>
      <c r="L10" s="11"/>
      <c r="M10" s="48"/>
      <c r="N10" s="10"/>
      <c r="O10" t="s">
        <v>434</v>
      </c>
      <c r="T10" s="33"/>
      <c r="U10" s="33"/>
      <c r="V10" s="33"/>
      <c r="W10" s="60" t="s">
        <v>237</v>
      </c>
      <c r="X10" s="1871">
        <f>SUM(X6:Y9)</f>
        <v>0</v>
      </c>
      <c r="Y10" s="1873"/>
      <c r="Z10" s="11"/>
      <c r="AA10" s="48"/>
      <c r="AB10" s="10"/>
      <c r="AC10" t="s">
        <v>733</v>
      </c>
      <c r="AE10" s="1757"/>
      <c r="AF10" s="1758"/>
      <c r="AG10" s="1758"/>
      <c r="AH10" s="1758"/>
      <c r="AI10" s="1758"/>
      <c r="AJ10" s="1818"/>
      <c r="AK10" s="1909"/>
      <c r="AL10" s="1909"/>
      <c r="AM10" s="1910"/>
      <c r="AO10" s="11"/>
    </row>
    <row r="11" spans="1:45" ht="13.5" thickBot="1">
      <c r="A11" s="10" t="s">
        <v>735</v>
      </c>
      <c r="I11" s="1895"/>
      <c r="J11" s="1831"/>
      <c r="K11" s="1832"/>
      <c r="L11" s="11"/>
      <c r="M11" s="48"/>
      <c r="N11" s="10"/>
      <c r="O11" s="44" t="s">
        <v>284</v>
      </c>
      <c r="P11" s="44"/>
      <c r="Q11" s="44"/>
      <c r="R11" s="44"/>
      <c r="S11" s="44"/>
      <c r="T11" s="44"/>
      <c r="U11" s="44"/>
      <c r="V11" s="44"/>
      <c r="W11" s="44"/>
      <c r="X11" s="44"/>
      <c r="Z11" s="11"/>
      <c r="AA11" s="48"/>
      <c r="AB11" s="10"/>
      <c r="AD11" s="14"/>
      <c r="AE11" s="14"/>
      <c r="AF11" s="14"/>
      <c r="AG11" s="14"/>
      <c r="AH11" s="14"/>
      <c r="AI11" s="14"/>
      <c r="AJ11" s="60" t="s">
        <v>243</v>
      </c>
      <c r="AK11" s="1871">
        <f>SUM(AK6:AM10)</f>
        <v>0</v>
      </c>
      <c r="AL11" s="1872"/>
      <c r="AM11" s="1873"/>
      <c r="AO11" s="11" t="s">
        <v>434</v>
      </c>
    </row>
    <row r="12" spans="1:45">
      <c r="A12" s="10" t="s">
        <v>309</v>
      </c>
      <c r="I12" s="1895"/>
      <c r="J12" s="1831"/>
      <c r="K12" s="1832"/>
      <c r="L12" s="11"/>
      <c r="M12" s="48"/>
      <c r="N12" s="10"/>
      <c r="O12" t="s">
        <v>736</v>
      </c>
      <c r="X12" s="1740"/>
      <c r="Y12" s="1806"/>
      <c r="Z12" s="11"/>
      <c r="AA12" s="48"/>
      <c r="AB12" s="10"/>
      <c r="AO12" s="176"/>
    </row>
    <row r="13" spans="1:45">
      <c r="A13" s="10" t="s">
        <v>59</v>
      </c>
      <c r="I13" s="1895"/>
      <c r="J13" s="1831"/>
      <c r="K13" s="1832"/>
      <c r="L13" s="11"/>
      <c r="M13" s="48"/>
      <c r="N13" s="10"/>
      <c r="O13" t="s">
        <v>737</v>
      </c>
      <c r="X13" s="1740"/>
      <c r="Y13" s="1806"/>
      <c r="Z13" s="11"/>
      <c r="AA13" s="48"/>
      <c r="AB13" s="10"/>
      <c r="AC13" s="44" t="s">
        <v>234</v>
      </c>
      <c r="AD13" s="55"/>
      <c r="AE13" s="55"/>
      <c r="AF13" s="55"/>
      <c r="AG13" s="55"/>
      <c r="AH13" s="55"/>
      <c r="AI13" s="55"/>
      <c r="AJ13" s="55"/>
      <c r="AK13" s="55"/>
      <c r="AL13" s="55"/>
      <c r="AM13" s="55"/>
      <c r="AN13" s="55"/>
      <c r="AO13" s="140"/>
    </row>
    <row r="14" spans="1:45" ht="13.5" thickBot="1">
      <c r="A14" s="17" t="s">
        <v>733</v>
      </c>
      <c r="B14" s="16"/>
      <c r="C14" s="1800"/>
      <c r="D14" s="1801"/>
      <c r="E14" s="1801"/>
      <c r="F14" s="1801"/>
      <c r="G14" s="1801"/>
      <c r="H14" s="1802"/>
      <c r="I14" s="1911"/>
      <c r="J14" s="1909"/>
      <c r="K14" s="1910"/>
      <c r="L14" s="11"/>
      <c r="M14" s="48"/>
      <c r="N14" s="10"/>
      <c r="O14" t="s">
        <v>738</v>
      </c>
      <c r="X14" s="1740"/>
      <c r="Y14" s="1806"/>
      <c r="Z14" s="11"/>
      <c r="AA14" s="48"/>
      <c r="AB14" s="10"/>
      <c r="AC14" t="s">
        <v>739</v>
      </c>
      <c r="AL14" s="1740"/>
      <c r="AM14" s="1806"/>
      <c r="AO14" s="174"/>
    </row>
    <row r="15" spans="1:45" ht="13.5" thickBot="1">
      <c r="A15" s="10"/>
      <c r="D15" s="14"/>
      <c r="E15" s="14"/>
      <c r="F15" s="14"/>
      <c r="G15" s="14"/>
      <c r="H15" s="60" t="s">
        <v>242</v>
      </c>
      <c r="I15" s="1871">
        <f>SUM(I9:K14)</f>
        <v>0</v>
      </c>
      <c r="J15" s="1872"/>
      <c r="K15" s="1873"/>
      <c r="L15" s="11"/>
      <c r="M15" s="48"/>
      <c r="N15" s="10"/>
      <c r="S15" s="33"/>
      <c r="T15" s="33"/>
      <c r="U15" s="33"/>
      <c r="V15" s="33"/>
      <c r="W15" s="60" t="s">
        <v>238</v>
      </c>
      <c r="X15" s="1871">
        <f>SUM(X10:Y14)</f>
        <v>0</v>
      </c>
      <c r="Y15" s="1873"/>
      <c r="Z15" s="11"/>
      <c r="AA15" s="48"/>
      <c r="AB15" s="10"/>
      <c r="AC15" t="s">
        <v>740</v>
      </c>
      <c r="AL15" s="1740"/>
      <c r="AM15" s="1806"/>
      <c r="AO15" s="174"/>
    </row>
    <row r="16" spans="1:45" ht="13.5" thickBot="1">
      <c r="A16" s="10"/>
      <c r="B16" s="14"/>
      <c r="L16" s="11"/>
      <c r="M16" s="48"/>
      <c r="N16" s="10"/>
      <c r="Z16" s="11"/>
      <c r="AA16" s="48"/>
      <c r="AB16" s="10" t="s">
        <v>434</v>
      </c>
      <c r="AC16" t="s">
        <v>434</v>
      </c>
      <c r="AD16" t="s">
        <v>434</v>
      </c>
      <c r="AE16" s="60" t="s">
        <v>434</v>
      </c>
      <c r="AF16" s="60"/>
      <c r="AG16" s="1874" t="s">
        <v>741</v>
      </c>
      <c r="AH16" s="1874"/>
      <c r="AI16" s="1874"/>
      <c r="AJ16" s="1874"/>
      <c r="AK16" s="1874"/>
      <c r="AL16" s="1871">
        <f>SUM(AL14:AM15)</f>
        <v>0</v>
      </c>
      <c r="AM16" s="1873"/>
      <c r="AO16" s="11"/>
    </row>
    <row r="17" spans="1:44">
      <c r="A17" s="50"/>
      <c r="B17" s="16"/>
      <c r="C17" s="16"/>
      <c r="D17" s="16"/>
      <c r="E17" s="16"/>
      <c r="F17" s="16"/>
      <c r="G17" s="16"/>
      <c r="H17" s="16"/>
      <c r="I17" s="16"/>
      <c r="J17" s="16"/>
      <c r="K17" s="16"/>
      <c r="L17" s="11"/>
      <c r="M17" s="48"/>
      <c r="N17" s="10"/>
      <c r="O17" t="s">
        <v>239</v>
      </c>
      <c r="X17" s="1740"/>
      <c r="Y17" s="1806"/>
      <c r="Z17" s="11"/>
      <c r="AA17" s="48"/>
      <c r="AB17" s="10"/>
      <c r="AJ17" s="1875"/>
      <c r="AK17" s="1875"/>
      <c r="AL17" s="1875"/>
      <c r="AM17" s="1875"/>
      <c r="AN17" s="1875"/>
      <c r="AO17" s="1876"/>
      <c r="AR17" s="33"/>
    </row>
    <row r="18" spans="1:44">
      <c r="A18" s="10"/>
      <c r="I18" s="1887"/>
      <c r="J18" s="1887"/>
      <c r="K18" s="1887"/>
      <c r="L18" s="11"/>
      <c r="M18" s="48"/>
      <c r="N18" s="10"/>
      <c r="O18" t="s">
        <v>236</v>
      </c>
      <c r="W18" s="14"/>
      <c r="X18" t="s">
        <v>434</v>
      </c>
      <c r="Z18" s="11"/>
      <c r="AA18" s="48"/>
      <c r="AB18" s="10"/>
      <c r="AC18" s="44" t="s">
        <v>742</v>
      </c>
      <c r="AD18" s="44"/>
      <c r="AE18" s="44"/>
      <c r="AF18" s="44"/>
      <c r="AG18" s="44"/>
      <c r="AH18" s="44"/>
      <c r="AI18" s="44"/>
      <c r="AJ18" s="44"/>
      <c r="AK18" s="44"/>
      <c r="AL18" s="44"/>
      <c r="AM18" s="44"/>
      <c r="AN18" s="44"/>
      <c r="AO18" s="11"/>
    </row>
    <row r="19" spans="1:44">
      <c r="A19" s="10"/>
      <c r="I19" s="1887"/>
      <c r="J19" s="1887"/>
      <c r="K19" s="1887"/>
      <c r="L19" s="11"/>
      <c r="M19" s="48"/>
      <c r="N19" s="10"/>
      <c r="Z19" s="11"/>
      <c r="AA19" s="48"/>
      <c r="AB19" s="10"/>
      <c r="AC19" s="44" t="s">
        <v>743</v>
      </c>
      <c r="AD19" s="44"/>
      <c r="AE19" s="44"/>
      <c r="AF19" s="44"/>
      <c r="AG19" s="44"/>
      <c r="AH19" s="44"/>
      <c r="AI19" s="44"/>
      <c r="AO19" s="11"/>
    </row>
    <row r="20" spans="1:44">
      <c r="A20" s="10"/>
      <c r="I20" s="1887"/>
      <c r="J20" s="1887"/>
      <c r="K20" s="1887"/>
      <c r="L20" s="11"/>
      <c r="M20" s="48"/>
      <c r="N20" s="10"/>
      <c r="O20" t="s">
        <v>434</v>
      </c>
      <c r="Z20" s="11"/>
      <c r="AA20" s="48"/>
      <c r="AB20" s="10"/>
      <c r="AC20" s="1888"/>
      <c r="AD20" s="1889"/>
      <c r="AE20" s="1889"/>
      <c r="AF20" s="1889"/>
      <c r="AG20" s="1889"/>
      <c r="AH20" s="1889"/>
      <c r="AI20" s="1889"/>
      <c r="AJ20" s="1889"/>
      <c r="AK20" s="1889"/>
      <c r="AL20" s="1889"/>
      <c r="AM20" s="1889"/>
      <c r="AN20" s="1890"/>
      <c r="AO20" s="177"/>
    </row>
    <row r="21" spans="1:44">
      <c r="A21" s="10"/>
      <c r="D21" s="14"/>
      <c r="H21" s="60"/>
      <c r="I21" s="1887"/>
      <c r="J21" s="1887"/>
      <c r="K21" s="1887"/>
      <c r="L21" s="11"/>
      <c r="M21" s="48"/>
      <c r="N21" s="10"/>
      <c r="Z21" s="11"/>
      <c r="AA21" s="48"/>
      <c r="AB21" s="10"/>
      <c r="AC21" s="1891"/>
      <c r="AD21" s="1892"/>
      <c r="AE21" s="1892"/>
      <c r="AF21" s="1892"/>
      <c r="AG21" s="1892"/>
      <c r="AH21" s="1892"/>
      <c r="AI21" s="1892"/>
      <c r="AJ21" s="1892"/>
      <c r="AK21" s="1892"/>
      <c r="AL21" s="1892"/>
      <c r="AM21" s="1892"/>
      <c r="AN21" s="1893"/>
      <c r="AO21" s="11"/>
    </row>
    <row r="22" spans="1:44" ht="9" customHeight="1" thickBot="1">
      <c r="A22" s="87"/>
      <c r="B22" s="19"/>
      <c r="C22" s="189"/>
      <c r="D22" s="19"/>
      <c r="E22" s="19"/>
      <c r="F22" s="19"/>
      <c r="G22" s="19"/>
      <c r="H22" s="19"/>
      <c r="I22" s="19"/>
      <c r="J22" s="19"/>
      <c r="K22" s="19"/>
      <c r="L22" s="20"/>
      <c r="M22" s="48"/>
      <c r="N22" s="87"/>
      <c r="O22" s="19"/>
      <c r="P22" s="19"/>
      <c r="Q22" s="19"/>
      <c r="R22" s="19"/>
      <c r="S22" s="19"/>
      <c r="T22" s="19"/>
      <c r="U22" s="19"/>
      <c r="V22" s="19"/>
      <c r="W22" s="19"/>
      <c r="X22" s="19"/>
      <c r="Y22" s="19"/>
      <c r="Z22" s="20"/>
      <c r="AA22" s="208"/>
      <c r="AB22" s="87"/>
      <c r="AC22" s="189"/>
      <c r="AD22" s="19"/>
      <c r="AE22" s="19"/>
      <c r="AF22" s="19"/>
      <c r="AG22" s="19"/>
      <c r="AH22" s="19"/>
      <c r="AI22" s="192"/>
      <c r="AJ22" s="192"/>
      <c r="AK22" s="19"/>
      <c r="AL22" s="19"/>
      <c r="AM22" s="19"/>
      <c r="AN22" s="192"/>
      <c r="AO22" s="193"/>
    </row>
    <row r="23" spans="1:44" ht="15.75">
      <c r="A23" s="1883" t="s">
        <v>748</v>
      </c>
      <c r="B23" s="1884"/>
      <c r="C23" s="1884"/>
      <c r="D23" s="1884"/>
      <c r="E23" s="1884"/>
      <c r="F23" s="1884"/>
      <c r="G23" s="1884"/>
      <c r="H23" s="1884"/>
      <c r="I23" s="1884"/>
      <c r="J23" s="1884"/>
      <c r="K23" s="1884"/>
      <c r="L23" s="1884"/>
      <c r="M23" s="1885"/>
      <c r="N23" s="1884"/>
      <c r="O23" s="1884"/>
      <c r="P23" s="1884"/>
      <c r="Q23" s="1884"/>
      <c r="R23" s="1884"/>
      <c r="S23" s="1884"/>
      <c r="T23" s="1884"/>
      <c r="U23" s="1884"/>
      <c r="V23" s="1884"/>
      <c r="W23" s="1884"/>
      <c r="X23" s="1884"/>
      <c r="Y23" s="1884"/>
      <c r="Z23" s="1884"/>
      <c r="AA23" s="1884"/>
      <c r="AB23" s="1884"/>
      <c r="AC23" s="1884"/>
      <c r="AD23" s="1884"/>
      <c r="AE23" s="1884"/>
      <c r="AF23" s="1884"/>
      <c r="AG23" s="1884"/>
      <c r="AH23" s="1884"/>
      <c r="AI23" s="1884"/>
      <c r="AJ23" s="1884"/>
      <c r="AK23" s="1884"/>
      <c r="AL23" s="1884"/>
      <c r="AM23" s="1884"/>
      <c r="AN23" s="1884"/>
      <c r="AO23" s="1886"/>
    </row>
    <row r="24" spans="1:44" ht="13.5" thickBot="1">
      <c r="A24" s="50" t="s">
        <v>702</v>
      </c>
      <c r="B24" s="44"/>
      <c r="C24" s="44"/>
      <c r="D24" s="13"/>
      <c r="E24" s="13"/>
      <c r="F24" s="13"/>
      <c r="G24" s="13"/>
      <c r="H24" s="178"/>
      <c r="I24" s="78"/>
      <c r="J24" s="78"/>
      <c r="K24" s="78"/>
      <c r="L24" s="78"/>
      <c r="M24" s="78"/>
      <c r="O24" s="62"/>
      <c r="Q24" s="44" t="s">
        <v>749</v>
      </c>
      <c r="R24" s="44"/>
      <c r="S24" s="44"/>
      <c r="T24" s="44"/>
      <c r="U24" s="44"/>
      <c r="V24" s="44"/>
      <c r="W24" s="44"/>
      <c r="X24" s="58"/>
      <c r="AK24" s="1"/>
      <c r="AL24" s="1"/>
      <c r="AM24" s="1"/>
      <c r="AN24" s="1"/>
      <c r="AO24" s="129"/>
    </row>
    <row r="25" spans="1:44">
      <c r="A25" s="114" t="s">
        <v>750</v>
      </c>
      <c r="B25" s="78"/>
      <c r="C25" s="78"/>
      <c r="D25" s="78"/>
      <c r="E25" s="78"/>
      <c r="F25" s="78"/>
      <c r="G25" s="78"/>
      <c r="H25" s="78"/>
      <c r="I25" s="78"/>
      <c r="J25" s="78"/>
      <c r="K25" s="78"/>
      <c r="L25" s="1877"/>
      <c r="M25" s="1878"/>
      <c r="N25" s="1878"/>
      <c r="O25" s="1879"/>
      <c r="P25" s="13"/>
      <c r="Q25" s="223" t="s">
        <v>751</v>
      </c>
      <c r="R25" s="224"/>
      <c r="S25" s="224"/>
      <c r="T25" s="224"/>
      <c r="U25" s="225"/>
      <c r="V25" s="225"/>
      <c r="W25" s="225"/>
      <c r="X25" s="226"/>
      <c r="Y25" s="1880" t="s">
        <v>752</v>
      </c>
      <c r="Z25" s="1745"/>
      <c r="AA25" s="1745"/>
      <c r="AB25" s="1881"/>
      <c r="AC25" s="1882" t="s">
        <v>753</v>
      </c>
      <c r="AD25" s="1745"/>
      <c r="AE25" s="1745"/>
      <c r="AF25" s="1881"/>
      <c r="AG25" s="1882" t="s">
        <v>754</v>
      </c>
      <c r="AH25" s="1745"/>
      <c r="AI25" s="1745"/>
      <c r="AJ25" s="1881"/>
      <c r="AK25" s="1882" t="s">
        <v>755</v>
      </c>
      <c r="AL25" s="1745"/>
      <c r="AM25" s="1745"/>
      <c r="AN25" s="1745"/>
      <c r="AO25" s="1746"/>
    </row>
    <row r="26" spans="1:44" ht="13.5" customHeight="1" thickBot="1">
      <c r="A26" s="160" t="s">
        <v>756</v>
      </c>
      <c r="B26" s="161"/>
      <c r="C26" s="161"/>
      <c r="D26" s="161"/>
      <c r="E26" s="161"/>
      <c r="F26" s="161"/>
      <c r="G26" s="161"/>
      <c r="H26" s="161"/>
      <c r="I26" s="161"/>
      <c r="J26" s="161"/>
      <c r="K26" s="161"/>
      <c r="L26" s="1867"/>
      <c r="M26" s="1868"/>
      <c r="N26" s="1868"/>
      <c r="O26" s="1869"/>
      <c r="P26" s="13"/>
      <c r="Q26" s="1827"/>
      <c r="R26" s="1828"/>
      <c r="S26" s="1828"/>
      <c r="T26" s="1828"/>
      <c r="U26" s="1828"/>
      <c r="V26" s="1828"/>
      <c r="W26" s="1828"/>
      <c r="X26" s="1870"/>
      <c r="Y26" s="1740"/>
      <c r="Z26" s="1739"/>
      <c r="AA26" s="1739"/>
      <c r="AB26" s="1806"/>
      <c r="AC26" s="1830"/>
      <c r="AD26" s="1831"/>
      <c r="AE26" s="1831"/>
      <c r="AF26" s="1832"/>
      <c r="AG26" s="1833"/>
      <c r="AH26" s="1834"/>
      <c r="AI26" s="1834"/>
      <c r="AJ26" s="1835"/>
      <c r="AK26" s="1845">
        <f>+AC26*AG26*12</f>
        <v>0</v>
      </c>
      <c r="AL26" s="1846"/>
      <c r="AM26" s="1846"/>
      <c r="AN26" s="1846"/>
      <c r="AO26" s="1847"/>
    </row>
    <row r="27" spans="1:44" ht="13.5" thickBot="1">
      <c r="A27" s="179" t="s">
        <v>758</v>
      </c>
      <c r="B27" s="39"/>
      <c r="C27" s="39"/>
      <c r="D27" s="39"/>
      <c r="E27" s="39"/>
      <c r="F27" s="39"/>
      <c r="G27" s="39"/>
      <c r="H27" s="39"/>
      <c r="I27" s="39"/>
      <c r="J27" s="32"/>
      <c r="K27" s="32"/>
      <c r="L27" s="1812">
        <f>+L26*L25*52</f>
        <v>0</v>
      </c>
      <c r="M27" s="1813"/>
      <c r="N27" s="1813"/>
      <c r="O27" s="1814"/>
      <c r="P27" s="13"/>
      <c r="Q27" s="1827"/>
      <c r="R27" s="1828"/>
      <c r="S27" s="1828"/>
      <c r="T27" s="1828"/>
      <c r="U27" s="1828"/>
      <c r="V27" s="1828"/>
      <c r="W27" s="1828"/>
      <c r="X27" s="1829"/>
      <c r="Y27" s="1740"/>
      <c r="Z27" s="1739"/>
      <c r="AA27" s="1739"/>
      <c r="AB27" s="1806"/>
      <c r="AC27" s="1830"/>
      <c r="AD27" s="1831"/>
      <c r="AE27" s="1831"/>
      <c r="AF27" s="1832"/>
      <c r="AG27" s="1833"/>
      <c r="AH27" s="1834"/>
      <c r="AI27" s="1834"/>
      <c r="AJ27" s="1835"/>
      <c r="AK27" s="1845">
        <f>+AC27*AG27*12</f>
        <v>0</v>
      </c>
      <c r="AL27" s="1846"/>
      <c r="AM27" s="1846"/>
      <c r="AN27" s="1846"/>
      <c r="AO27" s="1847"/>
    </row>
    <row r="28" spans="1:44">
      <c r="A28" s="50" t="s">
        <v>759</v>
      </c>
      <c r="B28" s="44"/>
      <c r="C28" s="44"/>
      <c r="D28" s="44"/>
      <c r="E28" s="44"/>
      <c r="F28" s="44"/>
      <c r="G28" s="44"/>
      <c r="H28" s="13"/>
      <c r="I28" s="13"/>
      <c r="J28" s="13"/>
      <c r="K28" s="13"/>
      <c r="L28" s="13"/>
      <c r="M28" s="13"/>
      <c r="N28" s="13"/>
      <c r="O28" s="57"/>
      <c r="P28" s="13"/>
      <c r="Q28" s="1827"/>
      <c r="R28" s="1828"/>
      <c r="S28" s="1828"/>
      <c r="T28" s="1828"/>
      <c r="U28" s="1828"/>
      <c r="V28" s="1828"/>
      <c r="W28" s="1828"/>
      <c r="X28" s="1829"/>
      <c r="Y28" s="1740"/>
      <c r="Z28" s="1739"/>
      <c r="AA28" s="1739"/>
      <c r="AB28" s="1806"/>
      <c r="AC28" s="1830"/>
      <c r="AD28" s="1831"/>
      <c r="AE28" s="1831"/>
      <c r="AF28" s="1832"/>
      <c r="AG28" s="1833"/>
      <c r="AH28" s="1834"/>
      <c r="AI28" s="1834"/>
      <c r="AJ28" s="1835"/>
      <c r="AK28" s="1845">
        <f>+AC28*AG28*12</f>
        <v>0</v>
      </c>
      <c r="AL28" s="1846"/>
      <c r="AM28" s="1846"/>
      <c r="AN28" s="1846"/>
      <c r="AO28" s="1847"/>
    </row>
    <row r="29" spans="1:44">
      <c r="A29" s="17" t="s">
        <v>760</v>
      </c>
      <c r="B29" s="16"/>
      <c r="C29" s="16"/>
      <c r="D29" s="16"/>
      <c r="E29" s="16"/>
      <c r="F29" s="16"/>
      <c r="G29" s="16"/>
      <c r="H29" s="13"/>
      <c r="I29" s="13"/>
      <c r="J29" s="13"/>
      <c r="K29" s="13"/>
      <c r="L29" s="1856">
        <f>SUM(X12:Y14)</f>
        <v>0</v>
      </c>
      <c r="M29" s="1865"/>
      <c r="N29" s="1865"/>
      <c r="O29" s="1866"/>
      <c r="P29" s="13"/>
      <c r="Q29" s="1827"/>
      <c r="R29" s="1828"/>
      <c r="S29" s="1828"/>
      <c r="T29" s="1828"/>
      <c r="U29" s="1828"/>
      <c r="V29" s="1828"/>
      <c r="W29" s="1828"/>
      <c r="X29" s="1829"/>
      <c r="Y29" s="1740"/>
      <c r="Z29" s="1739"/>
      <c r="AA29" s="1739"/>
      <c r="AB29" s="1806"/>
      <c r="AC29" s="1830"/>
      <c r="AD29" s="1831"/>
      <c r="AE29" s="1831"/>
      <c r="AF29" s="1832"/>
      <c r="AG29" s="1833"/>
      <c r="AH29" s="1834"/>
      <c r="AI29" s="1834"/>
      <c r="AJ29" s="1835"/>
      <c r="AK29" s="1845">
        <f>+AC29*AG29*12</f>
        <v>0</v>
      </c>
      <c r="AL29" s="1846"/>
      <c r="AM29" s="1846"/>
      <c r="AN29" s="1846"/>
      <c r="AO29" s="1847"/>
    </row>
    <row r="30" spans="1:44" ht="13.5" thickBot="1">
      <c r="A30" s="160" t="s">
        <v>417</v>
      </c>
      <c r="B30" s="161"/>
      <c r="C30" s="161"/>
      <c r="D30" s="161"/>
      <c r="E30" s="161"/>
      <c r="F30" s="161"/>
      <c r="G30" s="161"/>
      <c r="H30" s="161"/>
      <c r="I30" s="161"/>
      <c r="J30" s="161"/>
      <c r="K30" s="161"/>
      <c r="L30" s="1862"/>
      <c r="M30" s="1863"/>
      <c r="N30" s="1863"/>
      <c r="O30" s="1864"/>
      <c r="P30" s="13"/>
      <c r="Q30" s="227" t="s">
        <v>761</v>
      </c>
      <c r="R30" s="44"/>
      <c r="S30" s="44"/>
      <c r="T30" s="44"/>
      <c r="AG30" s="33"/>
      <c r="AH30" s="33"/>
      <c r="AI30" s="33"/>
      <c r="AJ30" s="33"/>
      <c r="AK30" s="33"/>
      <c r="AL30" s="33"/>
      <c r="AM30" s="33"/>
      <c r="AN30" s="33"/>
      <c r="AO30" s="175"/>
    </row>
    <row r="31" spans="1:44" ht="13.5" thickBot="1">
      <c r="A31" s="179" t="s">
        <v>363</v>
      </c>
      <c r="B31" s="39"/>
      <c r="C31" s="39"/>
      <c r="D31" s="39"/>
      <c r="E31" s="39"/>
      <c r="F31" s="39"/>
      <c r="G31" s="39"/>
      <c r="H31" s="39"/>
      <c r="I31" s="39"/>
      <c r="J31" s="39"/>
      <c r="K31" s="39"/>
      <c r="L31" s="1812">
        <f>+L29*L30*12</f>
        <v>0</v>
      </c>
      <c r="M31" s="1813"/>
      <c r="N31" s="1813"/>
      <c r="O31" s="1814"/>
      <c r="P31" s="13"/>
      <c r="Q31" s="1827"/>
      <c r="R31" s="1828"/>
      <c r="S31" s="1828"/>
      <c r="T31" s="1828"/>
      <c r="U31" s="1828"/>
      <c r="V31" s="1828"/>
      <c r="W31" s="1828"/>
      <c r="X31" s="1829"/>
      <c r="Y31" s="1740"/>
      <c r="Z31" s="1739"/>
      <c r="AA31" s="1739"/>
      <c r="AB31" s="1806"/>
      <c r="AC31" s="1830"/>
      <c r="AD31" s="1831"/>
      <c r="AE31" s="1831"/>
      <c r="AF31" s="1832"/>
      <c r="AG31" s="1833"/>
      <c r="AH31" s="1834"/>
      <c r="AI31" s="1834"/>
      <c r="AJ31" s="1835"/>
      <c r="AK31" s="1845">
        <f>+AC31*AG31*12</f>
        <v>0</v>
      </c>
      <c r="AL31" s="1846"/>
      <c r="AM31" s="1846"/>
      <c r="AN31" s="1846"/>
      <c r="AO31" s="1847"/>
    </row>
    <row r="32" spans="1:44">
      <c r="A32" s="50" t="s">
        <v>762</v>
      </c>
      <c r="B32" s="44"/>
      <c r="C32" s="44"/>
      <c r="D32" s="44"/>
      <c r="E32" s="44"/>
      <c r="F32" s="44"/>
      <c r="G32" s="44"/>
      <c r="H32" s="13"/>
      <c r="I32" s="13"/>
      <c r="J32" s="13"/>
      <c r="K32" s="13"/>
      <c r="L32" s="32"/>
      <c r="M32" s="6"/>
      <c r="N32" s="6"/>
      <c r="O32" s="5"/>
      <c r="P32" s="13"/>
      <c r="Q32" s="1827"/>
      <c r="R32" s="1828"/>
      <c r="S32" s="1828"/>
      <c r="T32" s="1828"/>
      <c r="U32" s="1828"/>
      <c r="V32" s="1828"/>
      <c r="W32" s="1828"/>
      <c r="X32" s="1829"/>
      <c r="Y32" s="1740"/>
      <c r="Z32" s="1739"/>
      <c r="AA32" s="1739"/>
      <c r="AB32" s="1806"/>
      <c r="AC32" s="1830"/>
      <c r="AD32" s="1831"/>
      <c r="AE32" s="1831"/>
      <c r="AF32" s="1832"/>
      <c r="AG32" s="1833"/>
      <c r="AH32" s="1834"/>
      <c r="AI32" s="1834"/>
      <c r="AJ32" s="1835"/>
      <c r="AK32" s="1845">
        <f>+AC32*AG32*12</f>
        <v>0</v>
      </c>
      <c r="AL32" s="1846"/>
      <c r="AM32" s="1846"/>
      <c r="AN32" s="1846"/>
      <c r="AO32" s="1847"/>
    </row>
    <row r="33" spans="1:50">
      <c r="A33" s="17" t="s">
        <v>246</v>
      </c>
      <c r="B33" s="16"/>
      <c r="C33" s="16"/>
      <c r="D33" s="16"/>
      <c r="E33" s="16"/>
      <c r="G33" s="13"/>
      <c r="H33" s="13"/>
      <c r="I33" s="13"/>
      <c r="J33" s="13"/>
      <c r="K33" s="13"/>
      <c r="L33" s="1856">
        <f>+AL16</f>
        <v>0</v>
      </c>
      <c r="M33" s="1857"/>
      <c r="N33" s="1857"/>
      <c r="O33" s="1858"/>
      <c r="P33" s="13"/>
      <c r="Q33" s="1827"/>
      <c r="R33" s="1828"/>
      <c r="S33" s="1828"/>
      <c r="T33" s="1828"/>
      <c r="U33" s="1828"/>
      <c r="V33" s="1828"/>
      <c r="W33" s="1828"/>
      <c r="X33" s="1829"/>
      <c r="Y33" s="1740"/>
      <c r="Z33" s="1739"/>
      <c r="AA33" s="1739"/>
      <c r="AB33" s="1806"/>
      <c r="AC33" s="1830"/>
      <c r="AD33" s="1831"/>
      <c r="AE33" s="1831"/>
      <c r="AF33" s="1832"/>
      <c r="AG33" s="1833"/>
      <c r="AH33" s="1834"/>
      <c r="AI33" s="1834"/>
      <c r="AJ33" s="1835"/>
      <c r="AK33" s="1845">
        <f>+AC33*AG33*12</f>
        <v>0</v>
      </c>
      <c r="AL33" s="1846"/>
      <c r="AM33" s="1846"/>
      <c r="AN33" s="1846"/>
      <c r="AO33" s="1847"/>
    </row>
    <row r="34" spans="1:50" ht="13.5" thickBot="1">
      <c r="A34" s="160" t="s">
        <v>417</v>
      </c>
      <c r="B34" s="161"/>
      <c r="C34" s="161"/>
      <c r="D34" s="161"/>
      <c r="E34" s="161"/>
      <c r="F34" s="161"/>
      <c r="G34" s="161"/>
      <c r="H34" s="161"/>
      <c r="I34" s="161"/>
      <c r="J34" s="161"/>
      <c r="K34" s="161"/>
      <c r="L34" s="1862"/>
      <c r="M34" s="1863"/>
      <c r="N34" s="1863"/>
      <c r="O34" s="1864"/>
      <c r="P34" s="13"/>
      <c r="Q34" s="1827"/>
      <c r="R34" s="1828"/>
      <c r="S34" s="1828"/>
      <c r="T34" s="1828"/>
      <c r="U34" s="1828"/>
      <c r="V34" s="1828"/>
      <c r="W34" s="1828"/>
      <c r="X34" s="1829"/>
      <c r="Y34" s="1740"/>
      <c r="Z34" s="1739"/>
      <c r="AA34" s="1739"/>
      <c r="AB34" s="1806"/>
      <c r="AC34" s="1830"/>
      <c r="AD34" s="1831"/>
      <c r="AE34" s="1831"/>
      <c r="AF34" s="1832"/>
      <c r="AG34" s="1833"/>
      <c r="AH34" s="1834"/>
      <c r="AI34" s="1834"/>
      <c r="AJ34" s="1835"/>
      <c r="AK34" s="1836">
        <f>+AC34*AG34*12</f>
        <v>0</v>
      </c>
      <c r="AL34" s="1837"/>
      <c r="AM34" s="1837"/>
      <c r="AN34" s="1837"/>
      <c r="AO34" s="1838"/>
    </row>
    <row r="35" spans="1:50" ht="13.5" thickBot="1">
      <c r="A35" s="179" t="s">
        <v>362</v>
      </c>
      <c r="B35" s="39"/>
      <c r="C35" s="39"/>
      <c r="D35" s="39"/>
      <c r="E35" s="39"/>
      <c r="F35" s="39"/>
      <c r="G35" s="39"/>
      <c r="H35" s="39"/>
      <c r="I35" s="39"/>
      <c r="J35" s="39"/>
      <c r="K35" s="39"/>
      <c r="L35" s="1812">
        <f>+L33*L34*12</f>
        <v>0</v>
      </c>
      <c r="M35" s="1813"/>
      <c r="N35" s="1813"/>
      <c r="O35" s="1814"/>
      <c r="P35" s="171"/>
      <c r="Q35" s="1825" t="s">
        <v>256</v>
      </c>
      <c r="R35" s="1826"/>
      <c r="S35" s="1826"/>
      <c r="T35" s="1826"/>
      <c r="U35" s="1826"/>
      <c r="V35" s="1826"/>
      <c r="W35" s="1826"/>
      <c r="X35" s="1826"/>
      <c r="Y35" s="1826"/>
      <c r="Z35" s="1826"/>
      <c r="AA35" s="1826"/>
      <c r="AB35" s="1826"/>
      <c r="AC35" s="1826"/>
      <c r="AD35" s="1826"/>
      <c r="AE35" s="1826"/>
      <c r="AF35" s="1826"/>
      <c r="AG35" s="1826"/>
      <c r="AH35" s="1826"/>
      <c r="AI35" s="1826"/>
      <c r="AJ35" s="1826"/>
      <c r="AK35" s="1859">
        <f>SUM(AK26:AO34)</f>
        <v>0</v>
      </c>
      <c r="AL35" s="1860"/>
      <c r="AM35" s="1860"/>
      <c r="AN35" s="1860"/>
      <c r="AO35" s="1861"/>
    </row>
    <row r="36" spans="1:50" ht="9" customHeight="1">
      <c r="A36" s="17"/>
      <c r="B36" s="171"/>
      <c r="C36" s="171"/>
      <c r="D36" s="171"/>
      <c r="E36" s="171"/>
      <c r="F36" s="171"/>
      <c r="G36" s="171"/>
      <c r="L36" s="92"/>
      <c r="M36" s="92"/>
      <c r="N36" s="92"/>
      <c r="O36" s="92"/>
      <c r="P36" s="171"/>
      <c r="Q36" s="78"/>
      <c r="R36" s="78"/>
      <c r="S36" s="78"/>
      <c r="T36" s="78"/>
      <c r="U36" s="78"/>
      <c r="V36" s="78"/>
      <c r="W36" s="78"/>
      <c r="X36" s="78"/>
      <c r="Y36" s="13"/>
      <c r="AC36" s="180"/>
      <c r="AD36" s="181"/>
      <c r="AE36" s="181"/>
      <c r="AF36" s="181"/>
      <c r="AG36" s="182"/>
      <c r="AH36" s="182"/>
      <c r="AI36" s="182"/>
      <c r="AJ36" s="182"/>
      <c r="AK36" s="61"/>
      <c r="AL36" s="61"/>
      <c r="AM36" s="61"/>
      <c r="AN36" s="61"/>
      <c r="AO36" s="183"/>
    </row>
    <row r="37" spans="1:50" ht="16.5" thickBot="1">
      <c r="A37" s="184" t="s">
        <v>763</v>
      </c>
      <c r="B37" s="185"/>
      <c r="C37" s="185"/>
      <c r="D37" s="185"/>
      <c r="E37" s="185"/>
      <c r="F37" s="185"/>
      <c r="G37" s="185"/>
      <c r="H37" s="185"/>
      <c r="I37" s="185"/>
      <c r="J37" s="185"/>
      <c r="K37" s="185"/>
      <c r="L37" s="150"/>
      <c r="M37" s="150"/>
      <c r="N37" s="150"/>
      <c r="O37" s="150"/>
      <c r="P37" s="150"/>
      <c r="Q37" s="150"/>
      <c r="R37" s="150"/>
      <c r="S37" s="150"/>
      <c r="T37" s="150"/>
      <c r="U37" s="150"/>
      <c r="V37" s="150"/>
      <c r="W37" s="150"/>
      <c r="X37" s="150"/>
      <c r="Y37" s="150"/>
      <c r="Z37" s="150"/>
      <c r="AA37" s="150"/>
      <c r="AB37" s="150"/>
      <c r="AC37" s="150"/>
      <c r="AD37" s="150"/>
      <c r="AE37" s="150"/>
      <c r="AF37" s="150"/>
      <c r="AG37" s="150"/>
      <c r="AH37" s="25"/>
      <c r="AI37" s="186"/>
      <c r="AJ37" s="186"/>
      <c r="AK37" s="186"/>
      <c r="AL37" s="186"/>
      <c r="AM37" s="186"/>
      <c r="AN37" s="186"/>
      <c r="AO37" s="187"/>
    </row>
    <row r="38" spans="1:50" ht="13.5" thickBot="1">
      <c r="A38" s="65"/>
      <c r="B38" s="163"/>
      <c r="C38" s="163"/>
      <c r="D38" s="40"/>
      <c r="E38" s="40"/>
      <c r="F38" s="40"/>
      <c r="G38" s="40"/>
      <c r="H38" s="163" t="s">
        <v>675</v>
      </c>
      <c r="I38" s="163"/>
      <c r="J38" s="163"/>
      <c r="K38" s="163"/>
      <c r="L38" s="163"/>
      <c r="M38" s="164"/>
      <c r="N38" s="68"/>
      <c r="O38" s="163" t="s">
        <v>264</v>
      </c>
      <c r="P38" s="163"/>
      <c r="Q38" s="163"/>
      <c r="R38" s="163"/>
      <c r="S38" s="163"/>
      <c r="T38" s="163"/>
      <c r="U38" s="165"/>
      <c r="V38" s="165"/>
      <c r="W38" s="165"/>
      <c r="X38" s="166" t="s">
        <v>258</v>
      </c>
      <c r="Y38" s="166"/>
      <c r="Z38" s="166"/>
      <c r="AA38" s="166"/>
      <c r="AB38" s="166"/>
      <c r="AC38" s="166"/>
      <c r="AD38" s="166"/>
      <c r="AE38" s="166"/>
      <c r="AF38" s="166"/>
      <c r="AG38" s="166"/>
      <c r="AH38" s="166"/>
      <c r="AI38" s="166"/>
      <c r="AJ38" s="166"/>
      <c r="AK38" s="166"/>
      <c r="AL38" s="166"/>
      <c r="AM38" s="166"/>
      <c r="AN38" s="166"/>
      <c r="AO38" s="167"/>
      <c r="AR38" s="18"/>
      <c r="AS38" s="18"/>
      <c r="AT38" s="18"/>
      <c r="AU38" s="18"/>
    </row>
    <row r="39" spans="1:50">
      <c r="A39" s="168" t="s">
        <v>257</v>
      </c>
      <c r="B39" s="13"/>
      <c r="C39" s="13"/>
      <c r="D39" s="13"/>
      <c r="E39" s="13"/>
      <c r="F39" s="13"/>
      <c r="G39" s="13"/>
      <c r="H39" s="63" t="s">
        <v>764</v>
      </c>
      <c r="I39" s="72"/>
      <c r="J39" s="72"/>
      <c r="K39" s="72"/>
      <c r="L39" s="72"/>
      <c r="M39" s="6"/>
      <c r="O39" s="44" t="s">
        <v>260</v>
      </c>
      <c r="P39" s="169"/>
      <c r="Q39" s="169"/>
      <c r="R39" s="169"/>
      <c r="S39" s="169"/>
      <c r="T39" s="169"/>
      <c r="U39" s="170"/>
      <c r="V39" s="170"/>
      <c r="W39" s="170"/>
      <c r="X39" s="1744" t="s">
        <v>765</v>
      </c>
      <c r="Y39" s="1752"/>
      <c r="Z39" s="1823"/>
      <c r="AA39" s="1824" t="s">
        <v>766</v>
      </c>
      <c r="AB39" s="1752"/>
      <c r="AC39" s="1823"/>
      <c r="AD39" s="1824" t="s">
        <v>767</v>
      </c>
      <c r="AE39" s="1752"/>
      <c r="AF39" s="1823"/>
      <c r="AG39" s="1824" t="s">
        <v>768</v>
      </c>
      <c r="AH39" s="1752"/>
      <c r="AI39" s="1823"/>
      <c r="AJ39" s="1824" t="s">
        <v>769</v>
      </c>
      <c r="AK39" s="1851"/>
      <c r="AL39" s="1852"/>
      <c r="AM39" s="1822" t="s">
        <v>259</v>
      </c>
      <c r="AN39" s="1752"/>
      <c r="AO39" s="1753"/>
      <c r="AR39" s="18"/>
      <c r="AS39" s="18"/>
      <c r="AT39" s="18"/>
      <c r="AU39" s="18"/>
      <c r="AV39" s="18"/>
      <c r="AW39" s="18"/>
      <c r="AX39" s="18"/>
    </row>
    <row r="40" spans="1:50">
      <c r="A40" s="17" t="s">
        <v>770</v>
      </c>
      <c r="B40" s="16"/>
      <c r="C40" s="16"/>
      <c r="G40" s="4"/>
      <c r="H40" s="1809"/>
      <c r="I40" s="1810"/>
      <c r="J40" s="1810"/>
      <c r="K40" s="1810"/>
      <c r="L40" s="1810"/>
      <c r="M40" s="1811"/>
      <c r="O40" s="1740"/>
      <c r="P40" s="1739"/>
      <c r="Q40" s="1739"/>
      <c r="R40" s="1739"/>
      <c r="S40" s="1739"/>
      <c r="T40" s="1819"/>
      <c r="U40" s="72"/>
      <c r="V40" s="72"/>
      <c r="W40" s="72"/>
      <c r="X40" s="1808">
        <v>0</v>
      </c>
      <c r="Y40" s="1804"/>
      <c r="Z40" s="1807"/>
      <c r="AA40" s="1803">
        <v>0</v>
      </c>
      <c r="AB40" s="1804"/>
      <c r="AC40" s="1807"/>
      <c r="AD40" s="1803">
        <v>0</v>
      </c>
      <c r="AE40" s="1804"/>
      <c r="AF40" s="1807"/>
      <c r="AG40" s="1803">
        <v>0</v>
      </c>
      <c r="AH40" s="1804"/>
      <c r="AI40" s="1807"/>
      <c r="AJ40" s="1803">
        <v>0</v>
      </c>
      <c r="AK40" s="1804"/>
      <c r="AL40" s="1807"/>
      <c r="AM40" s="1803">
        <v>0</v>
      </c>
      <c r="AN40" s="1804"/>
      <c r="AO40" s="1805"/>
      <c r="AT40" s="16"/>
      <c r="AW40" s="37"/>
    </row>
    <row r="41" spans="1:50">
      <c r="A41" s="17" t="s">
        <v>771</v>
      </c>
      <c r="B41" s="16"/>
      <c r="C41" s="16"/>
      <c r="G41" s="4"/>
      <c r="H41" s="1809"/>
      <c r="I41" s="1810"/>
      <c r="J41" s="1810"/>
      <c r="K41" s="1810"/>
      <c r="L41" s="1810"/>
      <c r="M41" s="1811"/>
      <c r="O41" s="1740"/>
      <c r="P41" s="1739"/>
      <c r="Q41" s="1739"/>
      <c r="R41" s="1739"/>
      <c r="S41" s="1739"/>
      <c r="T41" s="1819"/>
      <c r="U41" s="72"/>
      <c r="V41" s="72"/>
      <c r="W41" s="72"/>
      <c r="X41" s="1808">
        <v>0</v>
      </c>
      <c r="Y41" s="1804"/>
      <c r="Z41" s="1807"/>
      <c r="AA41" s="1803">
        <v>0</v>
      </c>
      <c r="AB41" s="1804"/>
      <c r="AC41" s="1807"/>
      <c r="AD41" s="1803">
        <v>0</v>
      </c>
      <c r="AE41" s="1804"/>
      <c r="AF41" s="1807"/>
      <c r="AG41" s="1803">
        <v>0</v>
      </c>
      <c r="AH41" s="1804"/>
      <c r="AI41" s="1807"/>
      <c r="AJ41" s="1803">
        <v>0</v>
      </c>
      <c r="AK41" s="1804"/>
      <c r="AL41" s="1807"/>
      <c r="AM41" s="1803">
        <v>0</v>
      </c>
      <c r="AN41" s="1804"/>
      <c r="AO41" s="1805"/>
      <c r="AS41" s="16"/>
      <c r="AT41" s="16"/>
      <c r="AU41" s="16"/>
      <c r="AW41" s="37"/>
    </row>
    <row r="42" spans="1:50">
      <c r="A42" s="17" t="s">
        <v>772</v>
      </c>
      <c r="B42" s="16"/>
      <c r="C42" s="16"/>
      <c r="D42" s="16"/>
      <c r="E42" s="16"/>
      <c r="G42" s="4"/>
      <c r="H42" s="1809"/>
      <c r="I42" s="1810"/>
      <c r="J42" s="1810"/>
      <c r="K42" s="1810"/>
      <c r="L42" s="1810"/>
      <c r="M42" s="1811"/>
      <c r="O42" s="1740"/>
      <c r="P42" s="1739"/>
      <c r="Q42" s="1739"/>
      <c r="R42" s="1739"/>
      <c r="S42" s="1739"/>
      <c r="T42" s="1819"/>
      <c r="U42" s="72"/>
      <c r="V42" s="72"/>
      <c r="W42" s="72"/>
      <c r="X42" s="1808">
        <v>0</v>
      </c>
      <c r="Y42" s="1804"/>
      <c r="Z42" s="1807"/>
      <c r="AA42" s="1803">
        <v>0</v>
      </c>
      <c r="AB42" s="1804"/>
      <c r="AC42" s="1807"/>
      <c r="AD42" s="1803">
        <v>0</v>
      </c>
      <c r="AE42" s="1804"/>
      <c r="AF42" s="1807"/>
      <c r="AG42" s="1803">
        <v>0</v>
      </c>
      <c r="AH42" s="1804"/>
      <c r="AI42" s="1807"/>
      <c r="AJ42" s="1803">
        <v>0</v>
      </c>
      <c r="AK42" s="1804"/>
      <c r="AL42" s="1807"/>
      <c r="AM42" s="1803">
        <v>0</v>
      </c>
      <c r="AN42" s="1804"/>
      <c r="AO42" s="1805"/>
      <c r="AS42" s="16"/>
      <c r="AT42" s="16"/>
      <c r="AU42" s="16"/>
      <c r="AV42" s="37"/>
      <c r="AW42" s="37"/>
    </row>
    <row r="43" spans="1:50">
      <c r="A43" s="17" t="s">
        <v>677</v>
      </c>
      <c r="B43" s="16"/>
      <c r="C43" s="16"/>
      <c r="D43" s="16"/>
      <c r="E43" s="16"/>
      <c r="G43" s="4"/>
      <c r="H43" s="1809"/>
      <c r="I43" s="1810"/>
      <c r="J43" s="1810"/>
      <c r="K43" s="1810"/>
      <c r="L43" s="1810"/>
      <c r="M43" s="1811"/>
      <c r="O43" s="1740"/>
      <c r="P43" s="1739"/>
      <c r="Q43" s="1739"/>
      <c r="R43" s="1739"/>
      <c r="S43" s="1739"/>
      <c r="T43" s="1819"/>
      <c r="U43" s="72"/>
      <c r="X43" s="1808">
        <v>0</v>
      </c>
      <c r="Y43" s="1804"/>
      <c r="Z43" s="1807"/>
      <c r="AA43" s="1803">
        <v>0</v>
      </c>
      <c r="AB43" s="1804"/>
      <c r="AC43" s="1807"/>
      <c r="AD43" s="1803">
        <v>0</v>
      </c>
      <c r="AE43" s="1804"/>
      <c r="AF43" s="1807"/>
      <c r="AG43" s="1803">
        <v>0</v>
      </c>
      <c r="AH43" s="1804"/>
      <c r="AI43" s="1807"/>
      <c r="AJ43" s="1803">
        <v>0</v>
      </c>
      <c r="AK43" s="1804"/>
      <c r="AL43" s="1807"/>
      <c r="AM43" s="1803">
        <v>0</v>
      </c>
      <c r="AN43" s="1804"/>
      <c r="AO43" s="1805"/>
      <c r="AS43" s="16"/>
      <c r="AT43" s="37"/>
      <c r="AU43" s="16"/>
      <c r="AV43" s="37"/>
      <c r="AW43" s="37"/>
    </row>
    <row r="44" spans="1:50">
      <c r="A44" s="17" t="s">
        <v>773</v>
      </c>
      <c r="B44" s="16"/>
      <c r="C44" s="16"/>
      <c r="D44" s="16"/>
      <c r="E44" s="16"/>
      <c r="G44" s="4"/>
      <c r="H44" s="1809"/>
      <c r="I44" s="1810"/>
      <c r="J44" s="1810"/>
      <c r="K44" s="1810"/>
      <c r="L44" s="1810"/>
      <c r="M44" s="1811"/>
      <c r="O44" s="1740"/>
      <c r="P44" s="1739"/>
      <c r="Q44" s="1739"/>
      <c r="R44" s="1739"/>
      <c r="S44" s="1739"/>
      <c r="T44" s="1819"/>
      <c r="U44" s="72"/>
      <c r="X44" s="1808">
        <v>0</v>
      </c>
      <c r="Y44" s="1804"/>
      <c r="Z44" s="1807"/>
      <c r="AA44" s="1803">
        <v>0</v>
      </c>
      <c r="AB44" s="1804"/>
      <c r="AC44" s="1807"/>
      <c r="AD44" s="1803">
        <v>0</v>
      </c>
      <c r="AE44" s="1804"/>
      <c r="AF44" s="1807"/>
      <c r="AG44" s="1803">
        <v>0</v>
      </c>
      <c r="AH44" s="1804"/>
      <c r="AI44" s="1807"/>
      <c r="AJ44" s="1803">
        <v>0</v>
      </c>
      <c r="AK44" s="1804"/>
      <c r="AL44" s="1807"/>
      <c r="AM44" s="1803">
        <v>0</v>
      </c>
      <c r="AN44" s="1804"/>
      <c r="AO44" s="1805"/>
    </row>
    <row r="45" spans="1:50">
      <c r="A45" s="17" t="s">
        <v>774</v>
      </c>
      <c r="B45" s="16"/>
      <c r="G45" s="4"/>
      <c r="H45" s="1809"/>
      <c r="I45" s="1810"/>
      <c r="J45" s="1810"/>
      <c r="K45" s="1810"/>
      <c r="L45" s="1810"/>
      <c r="M45" s="1811"/>
      <c r="O45" s="1740"/>
      <c r="P45" s="1739"/>
      <c r="Q45" s="1739"/>
      <c r="R45" s="1739"/>
      <c r="S45" s="1739"/>
      <c r="T45" s="1819"/>
      <c r="U45" s="72"/>
      <c r="X45" s="1808">
        <v>0</v>
      </c>
      <c r="Y45" s="1804"/>
      <c r="Z45" s="1807"/>
      <c r="AA45" s="1803">
        <v>0</v>
      </c>
      <c r="AB45" s="1804"/>
      <c r="AC45" s="1807"/>
      <c r="AD45" s="1803">
        <v>0</v>
      </c>
      <c r="AE45" s="1804"/>
      <c r="AF45" s="1807"/>
      <c r="AG45" s="1803">
        <v>0</v>
      </c>
      <c r="AH45" s="1804"/>
      <c r="AI45" s="1807"/>
      <c r="AJ45" s="1803">
        <v>0</v>
      </c>
      <c r="AK45" s="1804"/>
      <c r="AL45" s="1807"/>
      <c r="AM45" s="1803">
        <v>0</v>
      </c>
      <c r="AN45" s="1804"/>
      <c r="AO45" s="1805"/>
    </row>
    <row r="46" spans="1:50">
      <c r="A46" s="17" t="s">
        <v>775</v>
      </c>
      <c r="B46" s="16"/>
      <c r="C46" s="16"/>
      <c r="G46" s="4"/>
      <c r="H46" s="1809"/>
      <c r="I46" s="1810"/>
      <c r="J46" s="1810"/>
      <c r="K46" s="1810"/>
      <c r="L46" s="1810"/>
      <c r="M46" s="1811"/>
      <c r="O46" s="1740"/>
      <c r="P46" s="1739"/>
      <c r="Q46" s="1739"/>
      <c r="R46" s="1739"/>
      <c r="S46" s="1739"/>
      <c r="T46" s="1819"/>
      <c r="U46" s="72"/>
      <c r="X46" s="1808">
        <v>0</v>
      </c>
      <c r="Y46" s="1804"/>
      <c r="Z46" s="1807"/>
      <c r="AA46" s="1803">
        <v>0</v>
      </c>
      <c r="AB46" s="1804"/>
      <c r="AC46" s="1807"/>
      <c r="AD46" s="1803">
        <v>0</v>
      </c>
      <c r="AE46" s="1804"/>
      <c r="AF46" s="1807"/>
      <c r="AG46" s="1803">
        <v>0</v>
      </c>
      <c r="AH46" s="1804"/>
      <c r="AI46" s="1807"/>
      <c r="AJ46" s="1803">
        <v>0</v>
      </c>
      <c r="AK46" s="1804"/>
      <c r="AL46" s="1807"/>
      <c r="AM46" s="1803">
        <v>0</v>
      </c>
      <c r="AN46" s="1804"/>
      <c r="AO46" s="1805"/>
    </row>
    <row r="47" spans="1:50">
      <c r="A47" s="17" t="s">
        <v>776</v>
      </c>
      <c r="B47" s="16"/>
      <c r="G47" s="4"/>
      <c r="H47" s="1809"/>
      <c r="I47" s="1810"/>
      <c r="J47" s="1810"/>
      <c r="K47" s="1810"/>
      <c r="L47" s="1810"/>
      <c r="M47" s="1811"/>
      <c r="O47" s="1740"/>
      <c r="P47" s="1739"/>
      <c r="Q47" s="1739"/>
      <c r="R47" s="1739"/>
      <c r="S47" s="1739"/>
      <c r="T47" s="1819"/>
      <c r="U47" s="72"/>
      <c r="X47" s="1808">
        <v>0</v>
      </c>
      <c r="Y47" s="1804"/>
      <c r="Z47" s="1807"/>
      <c r="AA47" s="1803">
        <v>0</v>
      </c>
      <c r="AB47" s="1804"/>
      <c r="AC47" s="1807"/>
      <c r="AD47" s="1803">
        <v>0</v>
      </c>
      <c r="AE47" s="1804"/>
      <c r="AF47" s="1807"/>
      <c r="AG47" s="1803">
        <v>0</v>
      </c>
      <c r="AH47" s="1804"/>
      <c r="AI47" s="1807"/>
      <c r="AJ47" s="1803">
        <v>0</v>
      </c>
      <c r="AK47" s="1804"/>
      <c r="AL47" s="1807"/>
      <c r="AM47" s="1803">
        <v>0</v>
      </c>
      <c r="AN47" s="1804"/>
      <c r="AO47" s="1805"/>
    </row>
    <row r="48" spans="1:50" ht="13.5" thickBot="1">
      <c r="A48" s="10" t="s">
        <v>733</v>
      </c>
      <c r="C48" s="1757"/>
      <c r="D48" s="1758"/>
      <c r="E48" s="1758"/>
      <c r="F48" s="1818"/>
      <c r="G48" s="4"/>
      <c r="H48" s="1809"/>
      <c r="I48" s="1810"/>
      <c r="J48" s="1810"/>
      <c r="K48" s="1810"/>
      <c r="L48" s="1810"/>
      <c r="M48" s="1811"/>
      <c r="O48" s="1740"/>
      <c r="P48" s="1739"/>
      <c r="Q48" s="1739"/>
      <c r="R48" s="1739"/>
      <c r="S48" s="1739"/>
      <c r="T48" s="1819"/>
      <c r="U48" s="72"/>
      <c r="X48" s="1821">
        <v>0</v>
      </c>
      <c r="Y48" s="1816"/>
      <c r="Z48" s="1820"/>
      <c r="AA48" s="1815">
        <v>0</v>
      </c>
      <c r="AB48" s="1816"/>
      <c r="AC48" s="1820"/>
      <c r="AD48" s="1815">
        <v>0</v>
      </c>
      <c r="AE48" s="1816"/>
      <c r="AF48" s="1820"/>
      <c r="AG48" s="1803">
        <v>0</v>
      </c>
      <c r="AH48" s="1804"/>
      <c r="AI48" s="1807"/>
      <c r="AJ48" s="1815">
        <v>0</v>
      </c>
      <c r="AK48" s="1816"/>
      <c r="AL48" s="1820"/>
      <c r="AM48" s="1815">
        <v>0</v>
      </c>
      <c r="AN48" s="1816"/>
      <c r="AO48" s="1817"/>
    </row>
    <row r="49" spans="1:41" ht="13.5" thickBot="1">
      <c r="A49" s="10"/>
      <c r="B49" s="171"/>
      <c r="C49" s="171"/>
      <c r="D49" s="171"/>
      <c r="E49" s="171"/>
      <c r="F49" s="171"/>
      <c r="G49" s="171"/>
      <c r="L49" s="171"/>
      <c r="M49" s="171"/>
      <c r="N49" s="171"/>
      <c r="O49" s="171"/>
      <c r="P49" s="171"/>
      <c r="Q49" s="171"/>
      <c r="R49" s="171"/>
      <c r="S49" s="171"/>
      <c r="T49" s="171"/>
      <c r="U49" s="171"/>
      <c r="V49" s="61"/>
      <c r="W49" s="60" t="s">
        <v>261</v>
      </c>
      <c r="X49" s="1839">
        <f>SUM(X40:Z48)</f>
        <v>0</v>
      </c>
      <c r="Y49" s="1840"/>
      <c r="Z49" s="1841"/>
      <c r="AA49" s="1839">
        <f>SUM(AA40:AC48)</f>
        <v>0</v>
      </c>
      <c r="AB49" s="1840"/>
      <c r="AC49" s="1841"/>
      <c r="AD49" s="1839">
        <f>SUM(AD40:AF48)</f>
        <v>0</v>
      </c>
      <c r="AE49" s="1840"/>
      <c r="AF49" s="1841"/>
      <c r="AG49" s="1839">
        <f>SUM(AG40:AI48)</f>
        <v>0</v>
      </c>
      <c r="AH49" s="1840"/>
      <c r="AI49" s="1841"/>
      <c r="AJ49" s="1839">
        <f>SUM(AJ40:AL48)</f>
        <v>0</v>
      </c>
      <c r="AK49" s="1840"/>
      <c r="AL49" s="1841"/>
      <c r="AM49" s="1839">
        <f>SUM(AM40:AO48)</f>
        <v>0</v>
      </c>
      <c r="AN49" s="1840"/>
      <c r="AO49" s="1841"/>
    </row>
    <row r="50" spans="1:41">
      <c r="A50" s="50" t="s">
        <v>262</v>
      </c>
      <c r="B50" s="33"/>
      <c r="C50" s="33"/>
      <c r="D50" s="33"/>
      <c r="E50" s="33"/>
      <c r="F50" s="33"/>
      <c r="G50" s="33"/>
      <c r="H50" s="33"/>
      <c r="I50" s="33"/>
      <c r="J50" s="33"/>
      <c r="K50" s="33"/>
      <c r="L50" s="33"/>
      <c r="M50" s="33"/>
      <c r="N50" s="33"/>
      <c r="O50" s="33"/>
      <c r="P50" s="33"/>
      <c r="Q50" s="33"/>
      <c r="R50" s="33"/>
      <c r="S50" s="33"/>
      <c r="T50" s="33"/>
      <c r="U50" s="33"/>
      <c r="V50" s="61"/>
      <c r="W50" s="61"/>
      <c r="X50" s="61"/>
      <c r="Y50" s="61"/>
      <c r="Z50" s="14"/>
      <c r="AA50" s="14"/>
      <c r="AB50" s="14"/>
      <c r="AC50" s="14"/>
      <c r="AD50" s="14"/>
      <c r="AE50" s="14"/>
      <c r="AF50" s="14"/>
      <c r="AG50" s="14"/>
      <c r="AH50" s="14"/>
      <c r="AI50" s="14"/>
      <c r="AJ50" s="14"/>
      <c r="AK50" s="14"/>
      <c r="AO50" s="11"/>
    </row>
    <row r="51" spans="1:41">
      <c r="A51" s="143"/>
      <c r="B51" s="16" t="s">
        <v>777</v>
      </c>
      <c r="C51" s="16"/>
      <c r="D51" s="16"/>
      <c r="E51" s="16"/>
      <c r="G51" s="1843" t="s">
        <v>233</v>
      </c>
      <c r="H51" s="1554"/>
      <c r="I51" s="1844"/>
      <c r="J51" s="1800"/>
      <c r="K51" s="1801"/>
      <c r="L51" s="1801"/>
      <c r="M51" s="1801"/>
      <c r="N51" s="1801"/>
      <c r="O51" s="1801"/>
      <c r="P51" s="1801"/>
      <c r="Q51" s="1801"/>
      <c r="R51" s="1801"/>
      <c r="S51" s="1801"/>
      <c r="T51" s="1801"/>
      <c r="U51" s="1801"/>
      <c r="V51" s="1801"/>
      <c r="W51" s="1801"/>
      <c r="X51" s="1801"/>
      <c r="Y51" s="1801"/>
      <c r="Z51" s="1842"/>
      <c r="AD51" s="44" t="s">
        <v>263</v>
      </c>
      <c r="AE51" s="14"/>
      <c r="AF51" s="14"/>
      <c r="AG51" s="14"/>
      <c r="AI51" s="1853"/>
      <c r="AJ51" s="1854"/>
      <c r="AK51" s="1854"/>
      <c r="AL51" s="1855"/>
      <c r="AM51" s="64"/>
      <c r="AO51" s="11"/>
    </row>
    <row r="52" spans="1:41">
      <c r="A52" s="50"/>
      <c r="V52" s="14"/>
      <c r="AJ52" s="14"/>
      <c r="AK52" s="14"/>
      <c r="AL52" s="14"/>
      <c r="AM52" s="14"/>
      <c r="AN52" s="14"/>
      <c r="AO52" s="115"/>
    </row>
    <row r="53" spans="1:41" ht="13.5" thickBot="1">
      <c r="A53" s="144"/>
      <c r="B53" s="19" t="s">
        <v>778</v>
      </c>
      <c r="C53" s="19"/>
      <c r="D53" s="19"/>
      <c r="E53" s="172"/>
      <c r="F53" s="139"/>
      <c r="G53" s="19" t="s">
        <v>779</v>
      </c>
      <c r="H53" s="19"/>
      <c r="I53" s="19"/>
      <c r="J53" s="19"/>
      <c r="K53" s="19"/>
      <c r="L53" s="139"/>
      <c r="M53" s="173" t="s">
        <v>780</v>
      </c>
      <c r="N53" s="173"/>
      <c r="O53" s="173"/>
      <c r="P53" s="173"/>
      <c r="Q53" s="173"/>
      <c r="R53" s="173"/>
      <c r="S53" s="173"/>
      <c r="T53" s="173"/>
      <c r="U53" s="173"/>
      <c r="V53" s="173"/>
      <c r="W53" s="19"/>
      <c r="X53" s="139"/>
      <c r="Y53" s="19" t="s">
        <v>733</v>
      </c>
      <c r="Z53" s="19"/>
      <c r="AA53" s="1848"/>
      <c r="AB53" s="1849"/>
      <c r="AC53" s="1849"/>
      <c r="AD53" s="1849"/>
      <c r="AE53" s="1849"/>
      <c r="AF53" s="1849"/>
      <c r="AG53" s="1849"/>
      <c r="AH53" s="1849"/>
      <c r="AI53" s="1849"/>
      <c r="AJ53" s="1849"/>
      <c r="AK53" s="1849"/>
      <c r="AL53" s="1849"/>
      <c r="AM53" s="1849"/>
      <c r="AN53" s="1849"/>
      <c r="AO53" s="1850"/>
    </row>
    <row r="54" spans="1:41">
      <c r="A54" s="10"/>
      <c r="AG54" s="564" t="str">
        <f>'General '!AI11</f>
        <v>UA Version 5/8/19</v>
      </c>
      <c r="AO54" s="11"/>
    </row>
    <row r="55" spans="1:41" ht="13.5" thickBot="1">
      <c r="A55" s="50" t="s">
        <v>219</v>
      </c>
      <c r="AO55" s="11"/>
    </row>
    <row r="56" spans="1:41">
      <c r="A56" s="1903"/>
      <c r="B56" s="1904"/>
      <c r="C56" s="1904"/>
      <c r="D56" s="1904"/>
      <c r="E56" s="1904"/>
      <c r="F56" s="1904"/>
      <c r="G56" s="1904"/>
      <c r="H56" s="1904"/>
      <c r="I56" s="1904"/>
      <c r="J56" s="1904"/>
      <c r="K56" s="1904"/>
      <c r="L56" s="1904"/>
      <c r="M56" s="1904"/>
      <c r="N56" s="1904"/>
      <c r="O56" s="1904"/>
      <c r="P56" s="1904"/>
      <c r="Q56" s="1904"/>
      <c r="R56" s="1904"/>
      <c r="S56" s="1904"/>
      <c r="T56" s="1904"/>
      <c r="U56" s="1904"/>
      <c r="V56" s="1904"/>
      <c r="W56" s="1904"/>
      <c r="X56" s="1904"/>
      <c r="Y56" s="1904"/>
      <c r="Z56" s="1904"/>
      <c r="AA56" s="1904"/>
      <c r="AB56" s="1904"/>
      <c r="AC56" s="1904"/>
      <c r="AD56" s="1904"/>
      <c r="AE56" s="1904"/>
      <c r="AF56" s="1904"/>
      <c r="AG56" s="1904"/>
      <c r="AH56" s="1904"/>
      <c r="AI56" s="1904"/>
      <c r="AJ56" s="1904"/>
      <c r="AK56" s="1904"/>
      <c r="AL56" s="1904"/>
      <c r="AM56" s="1904"/>
      <c r="AN56" s="1904"/>
      <c r="AO56" s="1905"/>
    </row>
    <row r="57" spans="1:41">
      <c r="A57" s="1768"/>
      <c r="B57" s="1769"/>
      <c r="C57" s="1769"/>
      <c r="D57" s="1769"/>
      <c r="E57" s="1769"/>
      <c r="F57" s="1769"/>
      <c r="G57" s="1769"/>
      <c r="H57" s="1769"/>
      <c r="I57" s="1769"/>
      <c r="J57" s="1769"/>
      <c r="K57" s="1769"/>
      <c r="L57" s="1769"/>
      <c r="M57" s="1769"/>
      <c r="N57" s="1769"/>
      <c r="O57" s="1769"/>
      <c r="P57" s="1769"/>
      <c r="Q57" s="1769"/>
      <c r="R57" s="1769"/>
      <c r="S57" s="1769"/>
      <c r="T57" s="1769"/>
      <c r="U57" s="1769"/>
      <c r="V57" s="1769"/>
      <c r="W57" s="1769"/>
      <c r="X57" s="1769"/>
      <c r="Y57" s="1769"/>
      <c r="Z57" s="1769"/>
      <c r="AA57" s="1769"/>
      <c r="AB57" s="1769"/>
      <c r="AC57" s="1769"/>
      <c r="AD57" s="1769"/>
      <c r="AE57" s="1769"/>
      <c r="AF57" s="1769"/>
      <c r="AG57" s="1769"/>
      <c r="AH57" s="1769"/>
      <c r="AI57" s="1769"/>
      <c r="AJ57" s="1769"/>
      <c r="AK57" s="1769"/>
      <c r="AL57" s="1769"/>
      <c r="AM57" s="1769"/>
      <c r="AN57" s="1769"/>
      <c r="AO57" s="1770"/>
    </row>
    <row r="58" spans="1:41">
      <c r="A58" s="1768"/>
      <c r="B58" s="1769"/>
      <c r="C58" s="1769"/>
      <c r="D58" s="1769"/>
      <c r="E58" s="1769"/>
      <c r="F58" s="1769"/>
      <c r="G58" s="1769"/>
      <c r="H58" s="1769"/>
      <c r="I58" s="1769"/>
      <c r="J58" s="1769"/>
      <c r="K58" s="1769"/>
      <c r="L58" s="1769"/>
      <c r="M58" s="1769"/>
      <c r="N58" s="1769"/>
      <c r="O58" s="1769"/>
      <c r="P58" s="1769"/>
      <c r="Q58" s="1769"/>
      <c r="R58" s="1769"/>
      <c r="S58" s="1769"/>
      <c r="T58" s="1769"/>
      <c r="U58" s="1769"/>
      <c r="V58" s="1769"/>
      <c r="W58" s="1769"/>
      <c r="X58" s="1769"/>
      <c r="Y58" s="1769"/>
      <c r="Z58" s="1769"/>
      <c r="AA58" s="1769"/>
      <c r="AB58" s="1769"/>
      <c r="AC58" s="1769"/>
      <c r="AD58" s="1769"/>
      <c r="AE58" s="1769"/>
      <c r="AF58" s="1769"/>
      <c r="AG58" s="1769"/>
      <c r="AH58" s="1769"/>
      <c r="AI58" s="1769"/>
      <c r="AJ58" s="1769"/>
      <c r="AK58" s="1769"/>
      <c r="AL58" s="1769"/>
      <c r="AM58" s="1769"/>
      <c r="AN58" s="1769"/>
      <c r="AO58" s="1770"/>
    </row>
    <row r="59" spans="1:41">
      <c r="A59" s="1768"/>
      <c r="B59" s="1769"/>
      <c r="C59" s="1769"/>
      <c r="D59" s="1769"/>
      <c r="E59" s="1769"/>
      <c r="F59" s="1769"/>
      <c r="G59" s="1769"/>
      <c r="H59" s="1769"/>
      <c r="I59" s="1769"/>
      <c r="J59" s="1769"/>
      <c r="K59" s="1769"/>
      <c r="L59" s="1769"/>
      <c r="M59" s="1769"/>
      <c r="N59" s="1769"/>
      <c r="O59" s="1769"/>
      <c r="P59" s="1769"/>
      <c r="Q59" s="1769"/>
      <c r="R59" s="1769"/>
      <c r="S59" s="1769"/>
      <c r="T59" s="1769"/>
      <c r="U59" s="1769"/>
      <c r="V59" s="1769"/>
      <c r="W59" s="1769"/>
      <c r="X59" s="1769"/>
      <c r="Y59" s="1769"/>
      <c r="Z59" s="1769"/>
      <c r="AA59" s="1769"/>
      <c r="AB59" s="1769"/>
      <c r="AC59" s="1769"/>
      <c r="AD59" s="1769"/>
      <c r="AE59" s="1769"/>
      <c r="AF59" s="1769"/>
      <c r="AG59" s="1769"/>
      <c r="AH59" s="1769"/>
      <c r="AI59" s="1769"/>
      <c r="AJ59" s="1769"/>
      <c r="AK59" s="1769"/>
      <c r="AL59" s="1769"/>
      <c r="AM59" s="1769"/>
      <c r="AN59" s="1769"/>
      <c r="AO59" s="1770"/>
    </row>
    <row r="60" spans="1:41">
      <c r="A60" s="1768"/>
      <c r="B60" s="1769"/>
      <c r="C60" s="1769"/>
      <c r="D60" s="1769"/>
      <c r="E60" s="1769"/>
      <c r="F60" s="1769"/>
      <c r="G60" s="1769"/>
      <c r="H60" s="1769"/>
      <c r="I60" s="1769"/>
      <c r="J60" s="1769"/>
      <c r="K60" s="1769"/>
      <c r="L60" s="1769"/>
      <c r="M60" s="1769"/>
      <c r="N60" s="1769"/>
      <c r="O60" s="1769"/>
      <c r="P60" s="1769"/>
      <c r="Q60" s="1769"/>
      <c r="R60" s="1769"/>
      <c r="S60" s="1769"/>
      <c r="T60" s="1769"/>
      <c r="U60" s="1769"/>
      <c r="V60" s="1769"/>
      <c r="W60" s="1769"/>
      <c r="X60" s="1769"/>
      <c r="Y60" s="1769"/>
      <c r="Z60" s="1769"/>
      <c r="AA60" s="1769"/>
      <c r="AB60" s="1769"/>
      <c r="AC60" s="1769"/>
      <c r="AD60" s="1769"/>
      <c r="AE60" s="1769"/>
      <c r="AF60" s="1769"/>
      <c r="AG60" s="1769"/>
      <c r="AH60" s="1769"/>
      <c r="AI60" s="1769"/>
      <c r="AJ60" s="1769"/>
      <c r="AK60" s="1769"/>
      <c r="AL60" s="1769"/>
      <c r="AM60" s="1769"/>
      <c r="AN60" s="1769"/>
      <c r="AO60" s="1770"/>
    </row>
    <row r="61" spans="1:41">
      <c r="A61" s="1768"/>
      <c r="B61" s="1769"/>
      <c r="C61" s="1769"/>
      <c r="D61" s="1769"/>
      <c r="E61" s="1769"/>
      <c r="F61" s="1769"/>
      <c r="G61" s="1769"/>
      <c r="H61" s="1769"/>
      <c r="I61" s="1769"/>
      <c r="J61" s="1769"/>
      <c r="K61" s="1769"/>
      <c r="L61" s="1769"/>
      <c r="M61" s="1769"/>
      <c r="N61" s="1769"/>
      <c r="O61" s="1769"/>
      <c r="P61" s="1769"/>
      <c r="Q61" s="1769"/>
      <c r="R61" s="1769"/>
      <c r="S61" s="1769"/>
      <c r="T61" s="1769"/>
      <c r="U61" s="1769"/>
      <c r="V61" s="1769"/>
      <c r="W61" s="1769"/>
      <c r="X61" s="1769"/>
      <c r="Y61" s="1769"/>
      <c r="Z61" s="1769"/>
      <c r="AA61" s="1769"/>
      <c r="AB61" s="1769"/>
      <c r="AC61" s="1769"/>
      <c r="AD61" s="1769"/>
      <c r="AE61" s="1769"/>
      <c r="AF61" s="1769"/>
      <c r="AG61" s="1769"/>
      <c r="AH61" s="1769"/>
      <c r="AI61" s="1769"/>
      <c r="AJ61" s="1769"/>
      <c r="AK61" s="1769"/>
      <c r="AL61" s="1769"/>
      <c r="AM61" s="1769"/>
      <c r="AN61" s="1769"/>
      <c r="AO61" s="1770"/>
    </row>
    <row r="62" spans="1:41">
      <c r="A62" s="1768"/>
      <c r="B62" s="1769"/>
      <c r="C62" s="1769"/>
      <c r="D62" s="1769"/>
      <c r="E62" s="1769"/>
      <c r="F62" s="1769"/>
      <c r="G62" s="1769"/>
      <c r="H62" s="1769"/>
      <c r="I62" s="1769"/>
      <c r="J62" s="1769"/>
      <c r="K62" s="1769"/>
      <c r="L62" s="1769"/>
      <c r="M62" s="1769"/>
      <c r="N62" s="1769"/>
      <c r="O62" s="1769"/>
      <c r="P62" s="1769"/>
      <c r="Q62" s="1769"/>
      <c r="R62" s="1769"/>
      <c r="S62" s="1769"/>
      <c r="T62" s="1769"/>
      <c r="U62" s="1769"/>
      <c r="V62" s="1769"/>
      <c r="W62" s="1769"/>
      <c r="X62" s="1769"/>
      <c r="Y62" s="1769"/>
      <c r="Z62" s="1769"/>
      <c r="AA62" s="1769"/>
      <c r="AB62" s="1769"/>
      <c r="AC62" s="1769"/>
      <c r="AD62" s="1769"/>
      <c r="AE62" s="1769"/>
      <c r="AF62" s="1769"/>
      <c r="AG62" s="1769"/>
      <c r="AH62" s="1769"/>
      <c r="AI62" s="1769"/>
      <c r="AJ62" s="1769"/>
      <c r="AK62" s="1769"/>
      <c r="AL62" s="1769"/>
      <c r="AM62" s="1769"/>
      <c r="AN62" s="1769"/>
      <c r="AO62" s="1770"/>
    </row>
    <row r="63" spans="1:41">
      <c r="A63" s="1768"/>
      <c r="B63" s="1769"/>
      <c r="C63" s="1769"/>
      <c r="D63" s="1769"/>
      <c r="E63" s="1769"/>
      <c r="F63" s="1769"/>
      <c r="G63" s="1769"/>
      <c r="H63" s="1769"/>
      <c r="I63" s="1769"/>
      <c r="J63" s="1769"/>
      <c r="K63" s="1769"/>
      <c r="L63" s="1769"/>
      <c r="M63" s="1769"/>
      <c r="N63" s="1769"/>
      <c r="O63" s="1769"/>
      <c r="P63" s="1769"/>
      <c r="Q63" s="1769"/>
      <c r="R63" s="1769"/>
      <c r="S63" s="1769"/>
      <c r="T63" s="1769"/>
      <c r="U63" s="1769"/>
      <c r="V63" s="1769"/>
      <c r="W63" s="1769"/>
      <c r="X63" s="1769"/>
      <c r="Y63" s="1769"/>
      <c r="Z63" s="1769"/>
      <c r="AA63" s="1769"/>
      <c r="AB63" s="1769"/>
      <c r="AC63" s="1769"/>
      <c r="AD63" s="1769"/>
      <c r="AE63" s="1769"/>
      <c r="AF63" s="1769"/>
      <c r="AG63" s="1769"/>
      <c r="AH63" s="1769"/>
      <c r="AI63" s="1769"/>
      <c r="AJ63" s="1769"/>
      <c r="AK63" s="1769"/>
      <c r="AL63" s="1769"/>
      <c r="AM63" s="1769"/>
      <c r="AN63" s="1769"/>
      <c r="AO63" s="1770"/>
    </row>
    <row r="64" spans="1:41">
      <c r="A64" s="1768"/>
      <c r="B64" s="1769"/>
      <c r="C64" s="1769"/>
      <c r="D64" s="1769"/>
      <c r="E64" s="1769"/>
      <c r="F64" s="1769"/>
      <c r="G64" s="1769"/>
      <c r="H64" s="1769"/>
      <c r="I64" s="1769"/>
      <c r="J64" s="1769"/>
      <c r="K64" s="1769"/>
      <c r="L64" s="1769"/>
      <c r="M64" s="1769"/>
      <c r="N64" s="1769"/>
      <c r="O64" s="1769"/>
      <c r="P64" s="1769"/>
      <c r="Q64" s="1769"/>
      <c r="R64" s="1769"/>
      <c r="S64" s="1769"/>
      <c r="T64" s="1769"/>
      <c r="U64" s="1769"/>
      <c r="V64" s="1769"/>
      <c r="W64" s="1769"/>
      <c r="X64" s="1769"/>
      <c r="Y64" s="1769"/>
      <c r="Z64" s="1769"/>
      <c r="AA64" s="1769"/>
      <c r="AB64" s="1769"/>
      <c r="AC64" s="1769"/>
      <c r="AD64" s="1769"/>
      <c r="AE64" s="1769"/>
      <c r="AF64" s="1769"/>
      <c r="AG64" s="1769"/>
      <c r="AH64" s="1769"/>
      <c r="AI64" s="1769"/>
      <c r="AJ64" s="1769"/>
      <c r="AK64" s="1769"/>
      <c r="AL64" s="1769"/>
      <c r="AM64" s="1769"/>
      <c r="AN64" s="1769"/>
      <c r="AO64" s="1770"/>
    </row>
    <row r="65" spans="1:41">
      <c r="A65" s="1768"/>
      <c r="B65" s="1769"/>
      <c r="C65" s="1769"/>
      <c r="D65" s="1769"/>
      <c r="E65" s="1769"/>
      <c r="F65" s="1769"/>
      <c r="G65" s="1769"/>
      <c r="H65" s="1769"/>
      <c r="I65" s="1769"/>
      <c r="J65" s="1769"/>
      <c r="K65" s="1769"/>
      <c r="L65" s="1769"/>
      <c r="M65" s="1769"/>
      <c r="N65" s="1769"/>
      <c r="O65" s="1769"/>
      <c r="P65" s="1769"/>
      <c r="Q65" s="1769"/>
      <c r="R65" s="1769"/>
      <c r="S65" s="1769"/>
      <c r="T65" s="1769"/>
      <c r="U65" s="1769"/>
      <c r="V65" s="1769"/>
      <c r="W65" s="1769"/>
      <c r="X65" s="1769"/>
      <c r="Y65" s="1769"/>
      <c r="Z65" s="1769"/>
      <c r="AA65" s="1769"/>
      <c r="AB65" s="1769"/>
      <c r="AC65" s="1769"/>
      <c r="AD65" s="1769"/>
      <c r="AE65" s="1769"/>
      <c r="AF65" s="1769"/>
      <c r="AG65" s="1769"/>
      <c r="AH65" s="1769"/>
      <c r="AI65" s="1769"/>
      <c r="AJ65" s="1769"/>
      <c r="AK65" s="1769"/>
      <c r="AL65" s="1769"/>
      <c r="AM65" s="1769"/>
      <c r="AN65" s="1769"/>
      <c r="AO65" s="1770"/>
    </row>
    <row r="66" spans="1:41">
      <c r="A66" s="1768"/>
      <c r="B66" s="1769"/>
      <c r="C66" s="1769"/>
      <c r="D66" s="1769"/>
      <c r="E66" s="1769"/>
      <c r="F66" s="1769"/>
      <c r="G66" s="1769"/>
      <c r="H66" s="1769"/>
      <c r="I66" s="1769"/>
      <c r="J66" s="1769"/>
      <c r="K66" s="1769"/>
      <c r="L66" s="1769"/>
      <c r="M66" s="1769"/>
      <c r="N66" s="1769"/>
      <c r="O66" s="1769"/>
      <c r="P66" s="1769"/>
      <c r="Q66" s="1769"/>
      <c r="R66" s="1769"/>
      <c r="S66" s="1769"/>
      <c r="T66" s="1769"/>
      <c r="U66" s="1769"/>
      <c r="V66" s="1769"/>
      <c r="W66" s="1769"/>
      <c r="X66" s="1769"/>
      <c r="Y66" s="1769"/>
      <c r="Z66" s="1769"/>
      <c r="AA66" s="1769"/>
      <c r="AB66" s="1769"/>
      <c r="AC66" s="1769"/>
      <c r="AD66" s="1769"/>
      <c r="AE66" s="1769"/>
      <c r="AF66" s="1769"/>
      <c r="AG66" s="1769"/>
      <c r="AH66" s="1769"/>
      <c r="AI66" s="1769"/>
      <c r="AJ66" s="1769"/>
      <c r="AK66" s="1769"/>
      <c r="AL66" s="1769"/>
      <c r="AM66" s="1769"/>
      <c r="AN66" s="1769"/>
      <c r="AO66" s="1770"/>
    </row>
    <row r="67" spans="1:41">
      <c r="A67" s="1768"/>
      <c r="B67" s="1769"/>
      <c r="C67" s="1769"/>
      <c r="D67" s="1769"/>
      <c r="E67" s="1769"/>
      <c r="F67" s="1769"/>
      <c r="G67" s="1769"/>
      <c r="H67" s="1769"/>
      <c r="I67" s="1769"/>
      <c r="J67" s="1769"/>
      <c r="K67" s="1769"/>
      <c r="L67" s="1769"/>
      <c r="M67" s="1769"/>
      <c r="N67" s="1769"/>
      <c r="O67" s="1769"/>
      <c r="P67" s="1769"/>
      <c r="Q67" s="1769"/>
      <c r="R67" s="1769"/>
      <c r="S67" s="1769"/>
      <c r="T67" s="1769"/>
      <c r="U67" s="1769"/>
      <c r="V67" s="1769"/>
      <c r="W67" s="1769"/>
      <c r="X67" s="1769"/>
      <c r="Y67" s="1769"/>
      <c r="Z67" s="1769"/>
      <c r="AA67" s="1769"/>
      <c r="AB67" s="1769"/>
      <c r="AC67" s="1769"/>
      <c r="AD67" s="1769"/>
      <c r="AE67" s="1769"/>
      <c r="AF67" s="1769"/>
      <c r="AG67" s="1769"/>
      <c r="AH67" s="1769"/>
      <c r="AI67" s="1769"/>
      <c r="AJ67" s="1769"/>
      <c r="AK67" s="1769"/>
      <c r="AL67" s="1769"/>
      <c r="AM67" s="1769"/>
      <c r="AN67" s="1769"/>
      <c r="AO67" s="1770"/>
    </row>
    <row r="68" spans="1:41" ht="13.5" thickBot="1">
      <c r="A68" s="1771"/>
      <c r="B68" s="1772"/>
      <c r="C68" s="1772"/>
      <c r="D68" s="1772"/>
      <c r="E68" s="1772"/>
      <c r="F68" s="1772"/>
      <c r="G68" s="1772"/>
      <c r="H68" s="1772"/>
      <c r="I68" s="1772"/>
      <c r="J68" s="1772"/>
      <c r="K68" s="1772"/>
      <c r="L68" s="1772"/>
      <c r="M68" s="1772"/>
      <c r="N68" s="1772"/>
      <c r="O68" s="1772"/>
      <c r="P68" s="1772"/>
      <c r="Q68" s="1772"/>
      <c r="R68" s="1772"/>
      <c r="S68" s="1772"/>
      <c r="T68" s="1772"/>
      <c r="U68" s="1772"/>
      <c r="V68" s="1772"/>
      <c r="W68" s="1772"/>
      <c r="X68" s="1772"/>
      <c r="Y68" s="1772"/>
      <c r="Z68" s="1772"/>
      <c r="AA68" s="1772"/>
      <c r="AB68" s="1772"/>
      <c r="AC68" s="1772"/>
      <c r="AD68" s="1772"/>
      <c r="AE68" s="1772"/>
      <c r="AF68" s="1772"/>
      <c r="AG68" s="1772"/>
      <c r="AH68" s="1772"/>
      <c r="AI68" s="1772"/>
      <c r="AJ68" s="1772"/>
      <c r="AK68" s="1772"/>
      <c r="AL68" s="1772"/>
      <c r="AM68" s="1772"/>
      <c r="AN68" s="1772"/>
      <c r="AO68" s="1773"/>
    </row>
  </sheetData>
  <sheetProtection password="C9E9" sheet="1"/>
  <mergeCells count="192">
    <mergeCell ref="A56:AO68"/>
    <mergeCell ref="I10:K10"/>
    <mergeCell ref="X10:Y10"/>
    <mergeCell ref="AE10:AJ10"/>
    <mergeCell ref="AK10:AM10"/>
    <mergeCell ref="I11:K11"/>
    <mergeCell ref="I7:K7"/>
    <mergeCell ref="X7:Y7"/>
    <mergeCell ref="AK7:AM7"/>
    <mergeCell ref="I8:K8"/>
    <mergeCell ref="X8:Y8"/>
    <mergeCell ref="AK8:AM8"/>
    <mergeCell ref="I9:K9"/>
    <mergeCell ref="X9:Y9"/>
    <mergeCell ref="AK9:AM9"/>
    <mergeCell ref="AK11:AM11"/>
    <mergeCell ref="I12:K12"/>
    <mergeCell ref="X12:Y12"/>
    <mergeCell ref="I14:K14"/>
    <mergeCell ref="X13:Y13"/>
    <mergeCell ref="X14:Y14"/>
    <mergeCell ref="AL14:AM14"/>
    <mergeCell ref="I13:K13"/>
    <mergeCell ref="X15:Y15"/>
    <mergeCell ref="O3:Y3"/>
    <mergeCell ref="I5:K5"/>
    <mergeCell ref="AC5:AM5"/>
    <mergeCell ref="AB3:AO3"/>
    <mergeCell ref="A4:K4"/>
    <mergeCell ref="A3:L3"/>
    <mergeCell ref="I6:K6"/>
    <mergeCell ref="X6:Y6"/>
    <mergeCell ref="AK6:AM6"/>
    <mergeCell ref="AL15:AM15"/>
    <mergeCell ref="I15:K15"/>
    <mergeCell ref="AG16:AK16"/>
    <mergeCell ref="AL16:AM16"/>
    <mergeCell ref="X17:Y17"/>
    <mergeCell ref="AJ17:AO17"/>
    <mergeCell ref="L25:O25"/>
    <mergeCell ref="Y25:AB25"/>
    <mergeCell ref="AC25:AF25"/>
    <mergeCell ref="AG25:AJ25"/>
    <mergeCell ref="AK25:AO25"/>
    <mergeCell ref="A23:AO23"/>
    <mergeCell ref="I18:K18"/>
    <mergeCell ref="I19:K19"/>
    <mergeCell ref="I20:K20"/>
    <mergeCell ref="AC20:AN21"/>
    <mergeCell ref="I21:K21"/>
    <mergeCell ref="AG26:AJ26"/>
    <mergeCell ref="AK26:AO26"/>
    <mergeCell ref="L27:O27"/>
    <mergeCell ref="Q27:X27"/>
    <mergeCell ref="L26:O26"/>
    <mergeCell ref="AK28:AO28"/>
    <mergeCell ref="Y26:AB26"/>
    <mergeCell ref="AC26:AF26"/>
    <mergeCell ref="Q26:X26"/>
    <mergeCell ref="Q28:X28"/>
    <mergeCell ref="Y27:AB27"/>
    <mergeCell ref="L33:O33"/>
    <mergeCell ref="Q33:X33"/>
    <mergeCell ref="AK35:AO35"/>
    <mergeCell ref="AC33:AF33"/>
    <mergeCell ref="AC31:AF31"/>
    <mergeCell ref="AG31:AJ31"/>
    <mergeCell ref="AG33:AJ33"/>
    <mergeCell ref="L34:O34"/>
    <mergeCell ref="AC27:AF27"/>
    <mergeCell ref="AG27:AJ27"/>
    <mergeCell ref="AK27:AO27"/>
    <mergeCell ref="Y28:AB28"/>
    <mergeCell ref="AC28:AF28"/>
    <mergeCell ref="AC29:AF29"/>
    <mergeCell ref="AG28:AJ28"/>
    <mergeCell ref="L30:O30"/>
    <mergeCell ref="L31:O31"/>
    <mergeCell ref="Q31:X31"/>
    <mergeCell ref="Y31:AB31"/>
    <mergeCell ref="L29:O29"/>
    <mergeCell ref="Q29:X29"/>
    <mergeCell ref="Y29:AB29"/>
    <mergeCell ref="AK31:AO31"/>
    <mergeCell ref="Q32:X32"/>
    <mergeCell ref="Y32:AB32"/>
    <mergeCell ref="AC32:AF32"/>
    <mergeCell ref="AG32:AJ32"/>
    <mergeCell ref="AK32:AO32"/>
    <mergeCell ref="AG29:AJ29"/>
    <mergeCell ref="AK29:AO29"/>
    <mergeCell ref="AA53:AO53"/>
    <mergeCell ref="AK33:AO33"/>
    <mergeCell ref="AG42:AI42"/>
    <mergeCell ref="AJ42:AL42"/>
    <mergeCell ref="AM42:AO42"/>
    <mergeCell ref="AM43:AO43"/>
    <mergeCell ref="AJ39:AL39"/>
    <mergeCell ref="AJ44:AL44"/>
    <mergeCell ref="AM44:AO44"/>
    <mergeCell ref="AG45:AI45"/>
    <mergeCell ref="AJ45:AL45"/>
    <mergeCell ref="AM45:AO45"/>
    <mergeCell ref="AA47:AC47"/>
    <mergeCell ref="AJ46:AL46"/>
    <mergeCell ref="AM49:AO49"/>
    <mergeCell ref="AI51:AL51"/>
    <mergeCell ref="AJ48:AL48"/>
    <mergeCell ref="AJ41:AL41"/>
    <mergeCell ref="Q35:AJ35"/>
    <mergeCell ref="Q34:X34"/>
    <mergeCell ref="Y34:AB34"/>
    <mergeCell ref="AC34:AF34"/>
    <mergeCell ref="AG34:AJ34"/>
    <mergeCell ref="AK34:AO34"/>
    <mergeCell ref="AJ49:AL49"/>
    <mergeCell ref="J51:Z51"/>
    <mergeCell ref="X49:Z49"/>
    <mergeCell ref="AA49:AC49"/>
    <mergeCell ref="AD49:AF49"/>
    <mergeCell ref="AG49:AI49"/>
    <mergeCell ref="H42:M42"/>
    <mergeCell ref="X42:Z42"/>
    <mergeCell ref="AA42:AC42"/>
    <mergeCell ref="AG43:AI43"/>
    <mergeCell ref="AD42:AF42"/>
    <mergeCell ref="AJ43:AL43"/>
    <mergeCell ref="H43:M43"/>
    <mergeCell ref="X43:Z43"/>
    <mergeCell ref="AA43:AC43"/>
    <mergeCell ref="O43:T43"/>
    <mergeCell ref="AD43:AF43"/>
    <mergeCell ref="G51:I51"/>
    <mergeCell ref="AM39:AO39"/>
    <mergeCell ref="X39:Z39"/>
    <mergeCell ref="AA39:AC39"/>
    <mergeCell ref="AD39:AF39"/>
    <mergeCell ref="AG39:AI39"/>
    <mergeCell ref="AM47:AO47"/>
    <mergeCell ref="X45:Z45"/>
    <mergeCell ref="AA45:AC45"/>
    <mergeCell ref="AJ47:AL47"/>
    <mergeCell ref="AD45:AF45"/>
    <mergeCell ref="AD46:AF46"/>
    <mergeCell ref="X46:Z46"/>
    <mergeCell ref="AA46:AC46"/>
    <mergeCell ref="AM41:AO41"/>
    <mergeCell ref="AD47:AF47"/>
    <mergeCell ref="AG47:AI47"/>
    <mergeCell ref="X47:Z47"/>
    <mergeCell ref="AM48:AO48"/>
    <mergeCell ref="C48:F48"/>
    <mergeCell ref="O40:T40"/>
    <mergeCell ref="O41:T41"/>
    <mergeCell ref="O42:T42"/>
    <mergeCell ref="O44:T44"/>
    <mergeCell ref="O45:T45"/>
    <mergeCell ref="O46:T46"/>
    <mergeCell ref="O47:T47"/>
    <mergeCell ref="H45:M45"/>
    <mergeCell ref="H46:M46"/>
    <mergeCell ref="H48:M48"/>
    <mergeCell ref="AG48:AI48"/>
    <mergeCell ref="O48:T48"/>
    <mergeCell ref="AD48:AF48"/>
    <mergeCell ref="AA48:AC48"/>
    <mergeCell ref="H47:M47"/>
    <mergeCell ref="X48:Z48"/>
    <mergeCell ref="C14:H14"/>
    <mergeCell ref="A1:AO1"/>
    <mergeCell ref="A2:AO2"/>
    <mergeCell ref="AM46:AO46"/>
    <mergeCell ref="Y33:AB33"/>
    <mergeCell ref="AG44:AI44"/>
    <mergeCell ref="X44:Z44"/>
    <mergeCell ref="AA44:AC44"/>
    <mergeCell ref="AD44:AF44"/>
    <mergeCell ref="H44:M44"/>
    <mergeCell ref="AG46:AI46"/>
    <mergeCell ref="H40:M40"/>
    <mergeCell ref="X40:Z40"/>
    <mergeCell ref="AA40:AC40"/>
    <mergeCell ref="AD40:AF40"/>
    <mergeCell ref="AG40:AI40"/>
    <mergeCell ref="AJ40:AL40"/>
    <mergeCell ref="L35:O35"/>
    <mergeCell ref="AM40:AO40"/>
    <mergeCell ref="H41:M41"/>
    <mergeCell ref="X41:Z41"/>
    <mergeCell ref="AA41:AC41"/>
    <mergeCell ref="AD41:AF41"/>
    <mergeCell ref="AG41:AI41"/>
  </mergeCells>
  <phoneticPr fontId="17" type="noConversion"/>
  <dataValidations count="6">
    <dataValidation type="date" allowBlank="1" showInputMessage="1" showErrorMessage="1" sqref="AI51">
      <formula1>25569</formula1>
      <formula2>401769</formula2>
    </dataValidation>
    <dataValidation type="date" operator="greaterThan" allowBlank="1" showInputMessage="1" showErrorMessage="1" errorTitle="Need Application Date" error="Your entry must be a date after January 1, 2006." promptTitle="Date of Application or Update" prompt="Enter the date of this application or application update." sqref="K1:Q1">
      <formula1>38718</formula1>
    </dataValidation>
    <dataValidation type="list" allowBlank="1" showInputMessage="1" showErrorMessage="1" sqref="Y26:AB29 Y31:AB34">
      <formula1>Lease_Terms</formula1>
    </dataValidation>
    <dataValidation type="list" allowBlank="1" showInputMessage="1" showErrorMessage="1" sqref="H40:M44">
      <formula1>Type_of_Utility</formula1>
    </dataValidation>
    <dataValidation type="list" allowBlank="1" showInputMessage="1" showErrorMessage="1" sqref="H45:M47">
      <formula1>Type_of_Utility_2</formula1>
    </dataValidation>
    <dataValidation type="list" allowBlank="1" showInputMessage="1" showErrorMessage="1" sqref="O40:T48">
      <formula1>Owner_or_Tenant_paid_utilities</formula1>
    </dataValidation>
  </dataValidations>
  <printOptions horizontalCentered="1"/>
  <pageMargins left="0.5" right="0" top="0.5" bottom="0.3" header="0" footer="0"/>
  <pageSetup scale="82" firstPageNumber="9" orientation="portrait" horizontalDpi="525" verticalDpi="525" r:id="rId1"/>
  <headerFooter scaleWithDoc="0" alignWithMargins="0">
    <oddFooter>&amp;C&amp;9Page &amp;P of &amp;N&amp;R&amp;"Arial,Italic"&amp;9Universal Application - &amp;A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9603" r:id="rId4" name="Check Box 147">
              <controlPr defaultSize="0" autoFill="0" autoLine="0" autoPict="0">
                <anchor moveWithCells="1">
                  <from>
                    <xdr:col>0</xdr:col>
                    <xdr:colOff>0</xdr:colOff>
                    <xdr:row>49</xdr:row>
                    <xdr:rowOff>133350</xdr:rowOff>
                  </from>
                  <to>
                    <xdr:col>1</xdr:col>
                    <xdr:colOff>114300</xdr:colOff>
                    <xdr:row>51</xdr:row>
                    <xdr:rowOff>28575</xdr:rowOff>
                  </to>
                </anchor>
              </controlPr>
            </control>
          </mc:Choice>
        </mc:AlternateContent>
        <mc:AlternateContent xmlns:mc="http://schemas.openxmlformats.org/markup-compatibility/2006">
          <mc:Choice Requires="x14">
            <control shapeId="19604" r:id="rId5" name="Check Box 148">
              <controlPr defaultSize="0" autoFill="0" autoLine="0" autoPict="0">
                <anchor moveWithCells="1">
                  <from>
                    <xdr:col>0</xdr:col>
                    <xdr:colOff>0</xdr:colOff>
                    <xdr:row>51</xdr:row>
                    <xdr:rowOff>133350</xdr:rowOff>
                  </from>
                  <to>
                    <xdr:col>1</xdr:col>
                    <xdr:colOff>114300</xdr:colOff>
                    <xdr:row>53</xdr:row>
                    <xdr:rowOff>19050</xdr:rowOff>
                  </to>
                </anchor>
              </controlPr>
            </control>
          </mc:Choice>
        </mc:AlternateContent>
        <mc:AlternateContent xmlns:mc="http://schemas.openxmlformats.org/markup-compatibility/2006">
          <mc:Choice Requires="x14">
            <control shapeId="19605" r:id="rId6" name="Check Box 149">
              <controlPr defaultSize="0" autoFill="0" autoLine="0" autoPict="0">
                <anchor moveWithCells="1">
                  <from>
                    <xdr:col>4</xdr:col>
                    <xdr:colOff>180975</xdr:colOff>
                    <xdr:row>51</xdr:row>
                    <xdr:rowOff>133350</xdr:rowOff>
                  </from>
                  <to>
                    <xdr:col>6</xdr:col>
                    <xdr:colOff>104775</xdr:colOff>
                    <xdr:row>53</xdr:row>
                    <xdr:rowOff>19050</xdr:rowOff>
                  </to>
                </anchor>
              </controlPr>
            </control>
          </mc:Choice>
        </mc:AlternateContent>
        <mc:AlternateContent xmlns:mc="http://schemas.openxmlformats.org/markup-compatibility/2006">
          <mc:Choice Requires="x14">
            <control shapeId="19606" r:id="rId7" name="Check Box 150">
              <controlPr defaultSize="0" autoFill="0" autoLine="0" autoPict="0">
                <anchor moveWithCells="1">
                  <from>
                    <xdr:col>10</xdr:col>
                    <xdr:colOff>171450</xdr:colOff>
                    <xdr:row>51</xdr:row>
                    <xdr:rowOff>133350</xdr:rowOff>
                  </from>
                  <to>
                    <xdr:col>12</xdr:col>
                    <xdr:colOff>95250</xdr:colOff>
                    <xdr:row>53</xdr:row>
                    <xdr:rowOff>19050</xdr:rowOff>
                  </to>
                </anchor>
              </controlPr>
            </control>
          </mc:Choice>
        </mc:AlternateContent>
        <mc:AlternateContent xmlns:mc="http://schemas.openxmlformats.org/markup-compatibility/2006">
          <mc:Choice Requires="x14">
            <control shapeId="19670" r:id="rId8" name="Check Box 214">
              <controlPr defaultSize="0" autoFill="0" autoLine="0" autoPict="0">
                <anchor moveWithCells="1">
                  <from>
                    <xdr:col>22</xdr:col>
                    <xdr:colOff>180975</xdr:colOff>
                    <xdr:row>51</xdr:row>
                    <xdr:rowOff>133350</xdr:rowOff>
                  </from>
                  <to>
                    <xdr:col>24</xdr:col>
                    <xdr:colOff>104775</xdr:colOff>
                    <xdr:row>53</xdr:row>
                    <xdr:rowOff>19050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R173"/>
  <sheetViews>
    <sheetView showGridLines="0" zoomScaleNormal="100" workbookViewId="0">
      <selection activeCell="A2" sqref="A2:J2"/>
    </sheetView>
  </sheetViews>
  <sheetFormatPr defaultColWidth="9.140625" defaultRowHeight="12.75"/>
  <cols>
    <col min="1" max="1" width="11" customWidth="1"/>
    <col min="2" max="2" width="12.140625" customWidth="1"/>
    <col min="3" max="3" width="9.28515625" bestFit="1" customWidth="1"/>
    <col min="4" max="4" width="10.7109375" customWidth="1"/>
    <col min="5" max="5" width="10.5703125" customWidth="1"/>
    <col min="6" max="6" width="10.42578125" customWidth="1"/>
    <col min="7" max="7" width="9.85546875" bestFit="1" customWidth="1"/>
    <col min="8" max="8" width="10.42578125" customWidth="1"/>
    <col min="9" max="9" width="10.5703125" customWidth="1"/>
    <col min="10" max="10" width="10.140625" customWidth="1"/>
    <col min="11" max="11" width="1.7109375" customWidth="1"/>
    <col min="12" max="25" width="10" customWidth="1"/>
    <col min="26" max="34" width="10" hidden="1" customWidth="1"/>
    <col min="35" max="35" width="10" customWidth="1"/>
  </cols>
  <sheetData>
    <row r="1" spans="1:44" s="16" customFormat="1" ht="14.45" customHeight="1">
      <c r="A1" s="1560">
        <f>'General '!A45</f>
        <v>0</v>
      </c>
      <c r="B1" s="1561"/>
      <c r="C1" s="1561"/>
      <c r="D1" s="1561"/>
      <c r="E1" s="1561"/>
      <c r="F1" s="1561"/>
      <c r="G1" s="1561"/>
      <c r="H1" s="1561"/>
      <c r="I1" s="1561"/>
      <c r="J1" s="1562"/>
      <c r="K1" s="229"/>
      <c r="L1" s="229"/>
      <c r="M1" s="229"/>
      <c r="N1" s="229"/>
      <c r="O1" s="229"/>
      <c r="P1" s="229"/>
      <c r="Q1" s="229"/>
      <c r="R1" s="229"/>
      <c r="S1" s="229"/>
      <c r="T1" s="229"/>
      <c r="U1" s="229"/>
      <c r="V1" s="229"/>
      <c r="W1" s="229"/>
      <c r="X1" s="229"/>
      <c r="Y1" s="229"/>
      <c r="AA1" s="687" t="str">
        <f>IF(OR('General '!N24="VHHP",'General '!N29="VHHP",'General '!N34="VHHP",'General '!N38="VHHP"),"Yes","NO")</f>
        <v>NO</v>
      </c>
      <c r="AB1" s="229"/>
      <c r="AC1" s="229"/>
      <c r="AD1" s="229"/>
      <c r="AE1" s="229"/>
      <c r="AF1" s="229"/>
      <c r="AG1" s="229"/>
      <c r="AH1" s="229"/>
      <c r="AI1" s="229"/>
      <c r="AJ1" s="229"/>
      <c r="AK1" s="229"/>
      <c r="AL1" s="229"/>
      <c r="AM1" s="229"/>
      <c r="AN1" s="229"/>
      <c r="AO1" s="509"/>
      <c r="AP1" s="73"/>
      <c r="AQ1" s="73"/>
      <c r="AR1" s="73"/>
    </row>
    <row r="2" spans="1:44" s="16" customFormat="1" ht="14.45" customHeight="1">
      <c r="A2" s="1485" t="s">
        <v>39</v>
      </c>
      <c r="B2" s="1486"/>
      <c r="C2" s="1486"/>
      <c r="D2" s="1486"/>
      <c r="E2" s="1486"/>
      <c r="F2" s="1486"/>
      <c r="G2" s="1486"/>
      <c r="H2" s="1486"/>
      <c r="I2" s="1486"/>
      <c r="J2" s="1487"/>
      <c r="K2" s="242"/>
      <c r="L2" s="242"/>
      <c r="M2" s="242"/>
      <c r="N2" s="242"/>
      <c r="O2" s="242"/>
      <c r="P2" s="242"/>
      <c r="Q2" s="242"/>
      <c r="R2" s="242"/>
      <c r="S2" s="242"/>
      <c r="T2" s="242"/>
      <c r="U2" s="242"/>
      <c r="V2" s="242"/>
      <c r="W2" s="242"/>
      <c r="X2" s="242"/>
      <c r="Y2" s="242"/>
      <c r="Z2" s="242"/>
      <c r="AA2" s="242"/>
      <c r="AB2" s="242"/>
      <c r="AC2" s="242"/>
      <c r="AD2" s="242"/>
      <c r="AE2" s="242"/>
      <c r="AF2" s="242"/>
      <c r="AG2" s="242"/>
      <c r="AH2" s="242"/>
      <c r="AI2" s="242"/>
      <c r="AJ2" s="242"/>
      <c r="AK2" s="242"/>
      <c r="AL2" s="242"/>
      <c r="AM2" s="242"/>
      <c r="AN2" s="242"/>
      <c r="AO2" s="242"/>
    </row>
    <row r="3" spans="1:44" ht="30" customHeight="1">
      <c r="A3" s="1927" t="str">
        <f>IF(Y1="Yes","Include all project restricted rent levels on this worksheet, but do not include the units receiving operating subsidy resulting from a VHHP operating reserve offset tranche (use the VHHP Rents worksheet for units receiving the operating subsidy).","")</f>
        <v/>
      </c>
      <c r="B3" s="1928"/>
      <c r="C3" s="1928"/>
      <c r="D3" s="1928"/>
      <c r="E3" s="1928"/>
      <c r="F3" s="1928"/>
      <c r="G3" s="1928"/>
      <c r="H3" s="1928"/>
      <c r="I3" s="1928"/>
      <c r="J3" s="1929"/>
      <c r="Z3" s="14" t="s">
        <v>201</v>
      </c>
    </row>
    <row r="4" spans="1:44" ht="14.45" customHeight="1" thickBot="1">
      <c r="A4" s="955" t="s">
        <v>1394</v>
      </c>
      <c r="E4" s="1488">
        <f>'General '!$AI$45</f>
        <v>0</v>
      </c>
      <c r="F4" s="1488"/>
      <c r="H4" t="s">
        <v>272</v>
      </c>
      <c r="J4" s="956">
        <v>43579</v>
      </c>
    </row>
    <row r="5" spans="1:44" ht="14.45" customHeight="1">
      <c r="A5" s="10"/>
      <c r="D5" s="13"/>
      <c r="E5" s="13"/>
      <c r="F5" s="13"/>
      <c r="G5" s="13"/>
      <c r="H5" s="13"/>
      <c r="I5" s="13"/>
      <c r="J5" s="243"/>
      <c r="Z5" s="244" t="s">
        <v>194</v>
      </c>
      <c r="AA5" s="245"/>
      <c r="AB5" s="245"/>
      <c r="AC5" s="245"/>
      <c r="AD5" s="245"/>
      <c r="AE5" s="245"/>
      <c r="AF5" s="245"/>
      <c r="AG5" s="245"/>
      <c r="AH5" s="246"/>
    </row>
    <row r="6" spans="1:44" ht="14.45" customHeight="1">
      <c r="A6" s="114" t="s">
        <v>192</v>
      </c>
      <c r="C6" s="13">
        <v>1</v>
      </c>
      <c r="D6" s="13">
        <v>2</v>
      </c>
      <c r="E6" s="13">
        <v>3</v>
      </c>
      <c r="F6" s="13">
        <v>4</v>
      </c>
      <c r="G6" s="13">
        <v>5</v>
      </c>
      <c r="H6" s="13">
        <v>6</v>
      </c>
      <c r="I6" s="13">
        <v>7</v>
      </c>
      <c r="J6" s="243">
        <v>8</v>
      </c>
      <c r="Z6" s="10"/>
      <c r="AH6" s="11"/>
    </row>
    <row r="7" spans="1:44" ht="14.45" customHeight="1">
      <c r="A7" s="114" t="s">
        <v>193</v>
      </c>
      <c r="C7" s="957" t="str">
        <f>IF($E$4=0,"",VLOOKUP($E$4,'Income Limits'!$A$1:$I$58,2,FALSE))</f>
        <v/>
      </c>
      <c r="D7" s="957" t="str">
        <f>IF($E$4=0,"",VLOOKUP($E$4,'Income Limits'!$A$1:$I$58,3,FALSE))</f>
        <v/>
      </c>
      <c r="E7" s="957" t="str">
        <f>IF($E$4=0,"",VLOOKUP($E$4,'Income Limits'!$A$1:$I$58,4,FALSE))</f>
        <v/>
      </c>
      <c r="F7" s="957" t="str">
        <f>IF($E$4=0,"",VLOOKUP($E$4,'Income Limits'!$A$1:$I$58,5,FALSE))</f>
        <v/>
      </c>
      <c r="G7" s="957" t="str">
        <f>IF($E$4=0,"",VLOOKUP($E$4,'Income Limits'!$A$1:$I$58,6,FALSE))</f>
        <v/>
      </c>
      <c r="H7" s="957" t="str">
        <f>IF($E$4=0,"",VLOOKUP($E$4,'Income Limits'!$A$1:$I$58,7,FALSE))</f>
        <v/>
      </c>
      <c r="I7" s="957" t="str">
        <f>IF($E$4=0,"",VLOOKUP($E$4,'Income Limits'!$A$1:$I$58,8,FALSE))</f>
        <v/>
      </c>
      <c r="J7" s="958" t="str">
        <f>IF($E$4=0,"",VLOOKUP($E$4,'Income Limits'!$A$1:$I$58,9,FALSE))</f>
        <v/>
      </c>
      <c r="Z7" s="10" t="s">
        <v>798</v>
      </c>
      <c r="AA7" s="78" t="s">
        <v>317</v>
      </c>
      <c r="AB7" s="13"/>
      <c r="AC7" s="13"/>
      <c r="AD7" s="13"/>
      <c r="AE7" s="13"/>
      <c r="AF7" s="13"/>
      <c r="AG7" s="13"/>
      <c r="AH7" s="243"/>
    </row>
    <row r="8" spans="1:44" ht="14.45" customHeight="1">
      <c r="A8" s="879" t="s">
        <v>1348</v>
      </c>
      <c r="C8" s="247"/>
      <c r="D8" s="247"/>
      <c r="E8" s="247"/>
      <c r="F8" s="247"/>
      <c r="G8" s="247"/>
      <c r="H8" s="247"/>
      <c r="I8" s="247"/>
      <c r="J8" s="248"/>
      <c r="Z8" s="10" t="s">
        <v>319</v>
      </c>
      <c r="AA8" s="13">
        <v>1</v>
      </c>
      <c r="AB8" s="13">
        <v>2</v>
      </c>
      <c r="AC8" s="13">
        <v>3</v>
      </c>
      <c r="AD8" s="13">
        <v>4</v>
      </c>
      <c r="AE8" s="13">
        <v>5</v>
      </c>
      <c r="AF8" s="13">
        <v>6</v>
      </c>
      <c r="AG8" s="13">
        <v>7</v>
      </c>
      <c r="AH8" s="243">
        <v>8</v>
      </c>
    </row>
    <row r="9" spans="1:44" ht="14.45" customHeight="1">
      <c r="A9" s="114" t="s">
        <v>68</v>
      </c>
      <c r="J9" s="11"/>
      <c r="Z9" s="249">
        <v>1.2</v>
      </c>
      <c r="AA9" s="250" t="e">
        <f>AA15*2</f>
        <v>#VALUE!</v>
      </c>
      <c r="AB9" s="250" t="e">
        <f t="shared" ref="AB9:AG9" si="0">AB15*2</f>
        <v>#VALUE!</v>
      </c>
      <c r="AC9" s="250" t="e">
        <f t="shared" si="0"/>
        <v>#VALUE!</v>
      </c>
      <c r="AD9" s="250" t="e">
        <f t="shared" si="0"/>
        <v>#VALUE!</v>
      </c>
      <c r="AE9" s="250" t="e">
        <f t="shared" si="0"/>
        <v>#VALUE!</v>
      </c>
      <c r="AF9" s="250" t="e">
        <f t="shared" si="0"/>
        <v>#VALUE!</v>
      </c>
      <c r="AG9" s="250" t="e">
        <f t="shared" si="0"/>
        <v>#VALUE!</v>
      </c>
      <c r="AH9" s="251" t="e">
        <f t="shared" ref="AH9" si="1">AH15*2</f>
        <v>#VALUE!</v>
      </c>
    </row>
    <row r="10" spans="1:44" ht="14.45" customHeight="1">
      <c r="A10" s="114" t="s">
        <v>155</v>
      </c>
      <c r="J10" s="252"/>
      <c r="Z10" s="249">
        <v>1.1000000000000001</v>
      </c>
      <c r="AA10" s="250" t="e">
        <f>AA16*2</f>
        <v>#VALUE!</v>
      </c>
      <c r="AB10" s="250" t="e">
        <f t="shared" ref="AB10:AG10" si="2">AB16*2</f>
        <v>#VALUE!</v>
      </c>
      <c r="AC10" s="250" t="e">
        <f t="shared" si="2"/>
        <v>#VALUE!</v>
      </c>
      <c r="AD10" s="250" t="e">
        <f t="shared" si="2"/>
        <v>#VALUE!</v>
      </c>
      <c r="AE10" s="250" t="e">
        <f t="shared" si="2"/>
        <v>#VALUE!</v>
      </c>
      <c r="AF10" s="250" t="e">
        <f t="shared" si="2"/>
        <v>#VALUE!</v>
      </c>
      <c r="AG10" s="250" t="e">
        <f t="shared" si="2"/>
        <v>#VALUE!</v>
      </c>
      <c r="AH10" s="251" t="e">
        <f t="shared" ref="AH10" si="3">AH16*2</f>
        <v>#VALUE!</v>
      </c>
    </row>
    <row r="11" spans="1:44" ht="14.45" customHeight="1">
      <c r="A11" s="114" t="s">
        <v>156</v>
      </c>
      <c r="D11" s="253" t="s">
        <v>159</v>
      </c>
      <c r="E11" t="s">
        <v>160</v>
      </c>
      <c r="G11" t="s">
        <v>158</v>
      </c>
      <c r="J11" s="11"/>
      <c r="Z11" s="249">
        <v>1</v>
      </c>
      <c r="AA11" s="250" t="e">
        <f>AA17*2</f>
        <v>#VALUE!</v>
      </c>
      <c r="AB11" s="250" t="e">
        <f t="shared" ref="AB11:AH11" si="4">AB17*2</f>
        <v>#VALUE!</v>
      </c>
      <c r="AC11" s="250" t="e">
        <f t="shared" si="4"/>
        <v>#VALUE!</v>
      </c>
      <c r="AD11" s="250" t="e">
        <f t="shared" si="4"/>
        <v>#VALUE!</v>
      </c>
      <c r="AE11" s="250" t="e">
        <f t="shared" si="4"/>
        <v>#VALUE!</v>
      </c>
      <c r="AF11" s="250" t="e">
        <f t="shared" si="4"/>
        <v>#VALUE!</v>
      </c>
      <c r="AG11" s="250" t="e">
        <f t="shared" si="4"/>
        <v>#VALUE!</v>
      </c>
      <c r="AH11" s="251" t="e">
        <f t="shared" si="4"/>
        <v>#VALUE!</v>
      </c>
    </row>
    <row r="12" spans="1:44" ht="14.45" customHeight="1">
      <c r="A12" s="1912" t="str">
        <f>IF(OR('General '!N24="NPLH -No Place Like Home",'General '!N29="NPLH -No Place Like Home",'General '!N34="NPLH -No Place Like Home",'General '!N38="NPLH -No Place Like Home"),"NPLH projects must use the rent limit sets in rows 18-24, 26-32, 34-40, 42-48 and 50-56 for 15%, 20%. 25% and 30% AMI restricted units (these limits will flow to the 'NPLH Rents' worksheet).","")</f>
        <v/>
      </c>
      <c r="B12" s="1912"/>
      <c r="C12" s="1912"/>
      <c r="D12" s="1912"/>
      <c r="E12" s="1912"/>
      <c r="F12" s="1912"/>
      <c r="G12" s="1912"/>
      <c r="H12" s="1912"/>
      <c r="I12" s="1912"/>
      <c r="J12" s="1913"/>
      <c r="Z12" s="249">
        <v>0.9</v>
      </c>
      <c r="AA12" s="250" t="e">
        <f t="shared" ref="AA12:AH15" si="5">+AA$17*($Z12/$Z$17)</f>
        <v>#VALUE!</v>
      </c>
      <c r="AB12" s="250" t="e">
        <f t="shared" si="5"/>
        <v>#VALUE!</v>
      </c>
      <c r="AC12" s="250" t="e">
        <f t="shared" si="5"/>
        <v>#VALUE!</v>
      </c>
      <c r="AD12" s="250" t="e">
        <f t="shared" si="5"/>
        <v>#VALUE!</v>
      </c>
      <c r="AE12" s="250" t="e">
        <f t="shared" si="5"/>
        <v>#VALUE!</v>
      </c>
      <c r="AF12" s="250" t="e">
        <f t="shared" si="5"/>
        <v>#VALUE!</v>
      </c>
      <c r="AG12" s="250" t="e">
        <f t="shared" si="5"/>
        <v>#VALUE!</v>
      </c>
      <c r="AH12" s="251" t="e">
        <f t="shared" si="5"/>
        <v>#VALUE!</v>
      </c>
    </row>
    <row r="13" spans="1:44" ht="14.45" customHeight="1">
      <c r="A13" s="1914"/>
      <c r="B13" s="1914"/>
      <c r="C13" s="1914"/>
      <c r="D13" s="1914"/>
      <c r="E13" s="1914"/>
      <c r="F13" s="1914"/>
      <c r="G13" s="1914"/>
      <c r="H13" s="1914"/>
      <c r="I13" s="1914"/>
      <c r="J13" s="1915"/>
      <c r="Z13" s="249">
        <v>0.8</v>
      </c>
      <c r="AA13" s="250" t="e">
        <f t="shared" si="5"/>
        <v>#VALUE!</v>
      </c>
      <c r="AB13" s="250" t="e">
        <f t="shared" si="5"/>
        <v>#VALUE!</v>
      </c>
      <c r="AC13" s="250" t="e">
        <f t="shared" si="5"/>
        <v>#VALUE!</v>
      </c>
      <c r="AD13" s="250" t="e">
        <f t="shared" si="5"/>
        <v>#VALUE!</v>
      </c>
      <c r="AE13" s="250" t="e">
        <f t="shared" si="5"/>
        <v>#VALUE!</v>
      </c>
      <c r="AF13" s="250" t="e">
        <f t="shared" si="5"/>
        <v>#VALUE!</v>
      </c>
      <c r="AG13" s="250" t="e">
        <f t="shared" si="5"/>
        <v>#VALUE!</v>
      </c>
      <c r="AH13" s="251" t="e">
        <f t="shared" si="5"/>
        <v>#VALUE!</v>
      </c>
    </row>
    <row r="14" spans="1:44" ht="14.45" customHeight="1">
      <c r="A14" s="1967" t="s">
        <v>229</v>
      </c>
      <c r="B14" s="1925" t="s">
        <v>329</v>
      </c>
      <c r="C14" s="1925" t="s">
        <v>179</v>
      </c>
      <c r="D14" s="1925" t="s">
        <v>892</v>
      </c>
      <c r="E14" s="1925" t="s">
        <v>197</v>
      </c>
      <c r="F14" s="1925" t="s">
        <v>144</v>
      </c>
      <c r="G14" s="1925" t="s">
        <v>795</v>
      </c>
      <c r="H14" s="1925" t="s">
        <v>796</v>
      </c>
      <c r="I14" s="1925" t="s">
        <v>273</v>
      </c>
      <c r="J14" s="1968" t="s">
        <v>30</v>
      </c>
      <c r="Z14" s="249">
        <v>0.7</v>
      </c>
      <c r="AA14" s="250" t="e">
        <f t="shared" si="5"/>
        <v>#VALUE!</v>
      </c>
      <c r="AB14" s="250" t="e">
        <f t="shared" si="5"/>
        <v>#VALUE!</v>
      </c>
      <c r="AC14" s="250" t="e">
        <f t="shared" si="5"/>
        <v>#VALUE!</v>
      </c>
      <c r="AD14" s="250" t="e">
        <f t="shared" si="5"/>
        <v>#VALUE!</v>
      </c>
      <c r="AE14" s="250" t="e">
        <f t="shared" si="5"/>
        <v>#VALUE!</v>
      </c>
      <c r="AF14" s="250" t="e">
        <f t="shared" si="5"/>
        <v>#VALUE!</v>
      </c>
      <c r="AG14" s="250" t="e">
        <f t="shared" si="5"/>
        <v>#VALUE!</v>
      </c>
      <c r="AH14" s="251" t="e">
        <f t="shared" si="5"/>
        <v>#VALUE!</v>
      </c>
    </row>
    <row r="15" spans="1:44" ht="14.45" customHeight="1">
      <c r="A15" s="1922"/>
      <c r="B15" s="1930"/>
      <c r="C15" s="1930"/>
      <c r="D15" s="1930"/>
      <c r="E15" s="1930"/>
      <c r="F15" s="1930"/>
      <c r="G15" s="1930"/>
      <c r="H15" s="1930"/>
      <c r="I15" s="1930"/>
      <c r="J15" s="1969"/>
      <c r="Z15" s="249">
        <v>0.6</v>
      </c>
      <c r="AA15" s="250" t="e">
        <f t="shared" si="5"/>
        <v>#VALUE!</v>
      </c>
      <c r="AB15" s="250" t="e">
        <f t="shared" si="5"/>
        <v>#VALUE!</v>
      </c>
      <c r="AC15" s="250" t="e">
        <f t="shared" si="5"/>
        <v>#VALUE!</v>
      </c>
      <c r="AD15" s="250" t="e">
        <f t="shared" si="5"/>
        <v>#VALUE!</v>
      </c>
      <c r="AE15" s="250" t="e">
        <f t="shared" si="5"/>
        <v>#VALUE!</v>
      </c>
      <c r="AF15" s="250" t="e">
        <f t="shared" si="5"/>
        <v>#VALUE!</v>
      </c>
      <c r="AG15" s="250" t="e">
        <f t="shared" si="5"/>
        <v>#VALUE!</v>
      </c>
      <c r="AH15" s="251" t="e">
        <f t="shared" si="5"/>
        <v>#VALUE!</v>
      </c>
    </row>
    <row r="16" spans="1:44" ht="14.45" customHeight="1">
      <c r="A16" s="1922"/>
      <c r="B16" s="1930"/>
      <c r="C16" s="1930"/>
      <c r="D16" s="1930"/>
      <c r="E16" s="1930"/>
      <c r="F16" s="1930"/>
      <c r="G16" s="1930"/>
      <c r="H16" s="1930"/>
      <c r="I16" s="1930"/>
      <c r="J16" s="1969"/>
      <c r="Z16" s="249">
        <v>0.55000000000000004</v>
      </c>
      <c r="AA16" s="250" t="e">
        <f>+AA$17*($Z16/$Z$17)</f>
        <v>#VALUE!</v>
      </c>
      <c r="AB16" s="250" t="e">
        <f t="shared" ref="AB16:AH16" si="6">+AB$17*($Z16/$Z$17)</f>
        <v>#VALUE!</v>
      </c>
      <c r="AC16" s="250" t="e">
        <f t="shared" si="6"/>
        <v>#VALUE!</v>
      </c>
      <c r="AD16" s="250" t="e">
        <f t="shared" si="6"/>
        <v>#VALUE!</v>
      </c>
      <c r="AE16" s="250" t="e">
        <f t="shared" si="6"/>
        <v>#VALUE!</v>
      </c>
      <c r="AF16" s="250" t="e">
        <f t="shared" si="6"/>
        <v>#VALUE!</v>
      </c>
      <c r="AG16" s="250" t="e">
        <f t="shared" si="6"/>
        <v>#VALUE!</v>
      </c>
      <c r="AH16" s="251" t="e">
        <f t="shared" si="6"/>
        <v>#VALUE!</v>
      </c>
    </row>
    <row r="17" spans="1:41" ht="14.45" customHeight="1">
      <c r="A17" s="1922"/>
      <c r="B17" s="1930"/>
      <c r="C17" s="1931"/>
      <c r="D17" s="1931"/>
      <c r="E17" s="1931"/>
      <c r="F17" s="1931"/>
      <c r="G17" s="1931"/>
      <c r="H17" s="1931"/>
      <c r="I17" s="1931"/>
      <c r="J17" s="1970"/>
      <c r="Z17" s="249">
        <v>0.5</v>
      </c>
      <c r="AA17" s="250" t="str">
        <f t="shared" ref="AA17:AH17" si="7">C7</f>
        <v/>
      </c>
      <c r="AB17" s="250" t="str">
        <f t="shared" si="7"/>
        <v/>
      </c>
      <c r="AC17" s="250" t="str">
        <f t="shared" si="7"/>
        <v/>
      </c>
      <c r="AD17" s="250" t="str">
        <f t="shared" si="7"/>
        <v/>
      </c>
      <c r="AE17" s="250" t="str">
        <f t="shared" si="7"/>
        <v/>
      </c>
      <c r="AF17" s="250" t="str">
        <f t="shared" si="7"/>
        <v/>
      </c>
      <c r="AG17" s="250" t="str">
        <f t="shared" si="7"/>
        <v/>
      </c>
      <c r="AH17" s="251" t="str">
        <f t="shared" si="7"/>
        <v/>
      </c>
    </row>
    <row r="18" spans="1:41" ht="14.45" customHeight="1">
      <c r="A18" s="230"/>
      <c r="B18" s="231"/>
      <c r="C18" s="257" t="s">
        <v>654</v>
      </c>
      <c r="D18" s="678"/>
      <c r="E18" s="233">
        <v>0</v>
      </c>
      <c r="F18" s="323">
        <v>0</v>
      </c>
      <c r="G18" s="233">
        <v>0</v>
      </c>
      <c r="H18" s="233">
        <v>0</v>
      </c>
      <c r="I18" s="238" t="str">
        <f t="shared" ref="I18:I24" si="8">IF(D18&gt;0,+H18*D18," ")</f>
        <v xml:space="preserve"> </v>
      </c>
      <c r="J18" s="258" t="str">
        <f t="shared" ref="J18:J24" si="9">IF(D18&gt;0,G18*D18," ")</f>
        <v xml:space="preserve"> </v>
      </c>
      <c r="Z18" s="249">
        <v>0.45</v>
      </c>
      <c r="AA18" s="250" t="e">
        <f t="shared" ref="AA18:AH24" si="10">+AA$17*($Z18/$Z$17)</f>
        <v>#VALUE!</v>
      </c>
      <c r="AB18" s="250" t="e">
        <f t="shared" si="10"/>
        <v>#VALUE!</v>
      </c>
      <c r="AC18" s="250" t="e">
        <f t="shared" si="10"/>
        <v>#VALUE!</v>
      </c>
      <c r="AD18" s="250" t="e">
        <f t="shared" si="10"/>
        <v>#VALUE!</v>
      </c>
      <c r="AE18" s="250" t="e">
        <f t="shared" si="10"/>
        <v>#VALUE!</v>
      </c>
      <c r="AF18" s="250" t="e">
        <f t="shared" si="10"/>
        <v>#VALUE!</v>
      </c>
      <c r="AG18" s="250" t="e">
        <f t="shared" si="10"/>
        <v>#VALUE!</v>
      </c>
      <c r="AH18" s="251" t="e">
        <f t="shared" si="10"/>
        <v>#VALUE!</v>
      </c>
    </row>
    <row r="19" spans="1:41" ht="14.25" customHeight="1">
      <c r="A19" s="1932" t="s">
        <v>1347</v>
      </c>
      <c r="B19" s="1933"/>
      <c r="C19" s="260" t="s">
        <v>145</v>
      </c>
      <c r="D19" s="678"/>
      <c r="E19" s="238" t="str">
        <f>IF(D19=0," ",IF($B$18="TCAC",VLOOKUP($A$18,TCACrents,2,FALSE),IF($B$18="CalHFA",VLOOKUP($A$18,CalHFArents,2,FALSE),VLOOKUP($A$18,Otherrents,2,FALSE))))</f>
        <v xml:space="preserve"> </v>
      </c>
      <c r="F19" s="239" t="str">
        <f>IF(D19&gt;0,-Misc.!$X$49," ")</f>
        <v xml:space="preserve"> </v>
      </c>
      <c r="G19" s="238" t="str">
        <f t="shared" ref="G19:G24" si="11">IF(D19&gt;0,SUM(E19:F19)," ")</f>
        <v xml:space="preserve"> </v>
      </c>
      <c r="H19" s="233">
        <v>0</v>
      </c>
      <c r="I19" s="238" t="str">
        <f t="shared" si="8"/>
        <v xml:space="preserve"> </v>
      </c>
      <c r="J19" s="258" t="str">
        <f t="shared" si="9"/>
        <v xml:space="preserve"> </v>
      </c>
      <c r="Z19" s="249">
        <v>0.4</v>
      </c>
      <c r="AA19" s="250" t="e">
        <f t="shared" si="10"/>
        <v>#VALUE!</v>
      </c>
      <c r="AB19" s="250" t="e">
        <f t="shared" si="10"/>
        <v>#VALUE!</v>
      </c>
      <c r="AC19" s="250" t="e">
        <f t="shared" si="10"/>
        <v>#VALUE!</v>
      </c>
      <c r="AD19" s="250" t="e">
        <f t="shared" si="10"/>
        <v>#VALUE!</v>
      </c>
      <c r="AE19" s="250" t="e">
        <f t="shared" si="10"/>
        <v>#VALUE!</v>
      </c>
      <c r="AF19" s="250" t="e">
        <f t="shared" si="10"/>
        <v>#VALUE!</v>
      </c>
      <c r="AG19" s="250" t="e">
        <f t="shared" si="10"/>
        <v>#VALUE!</v>
      </c>
      <c r="AH19" s="251" t="e">
        <f t="shared" si="10"/>
        <v>#VALUE!</v>
      </c>
    </row>
    <row r="20" spans="1:41" ht="14.25" customHeight="1">
      <c r="A20" s="1934"/>
      <c r="B20" s="1935"/>
      <c r="C20" s="260" t="s">
        <v>146</v>
      </c>
      <c r="D20" s="678"/>
      <c r="E20" s="238" t="str">
        <f>IF(D20=0," ",IF($B$18="TCAC",VLOOKUP($A$18,TCACrents,3,FALSE),IF($B$18="CalHFA",VLOOKUP($A$18,CalHFArents,3,FALSE),VLOOKUP($A$18,Otherrents,3,FALSE))))</f>
        <v xml:space="preserve"> </v>
      </c>
      <c r="F20" s="239" t="str">
        <f>IF(D20&gt;0,-Misc.!$AA$49," ")</f>
        <v xml:space="preserve"> </v>
      </c>
      <c r="G20" s="238" t="str">
        <f t="shared" si="11"/>
        <v xml:space="preserve"> </v>
      </c>
      <c r="H20" s="233">
        <v>0</v>
      </c>
      <c r="I20" s="238" t="str">
        <f t="shared" si="8"/>
        <v xml:space="preserve"> </v>
      </c>
      <c r="J20" s="258" t="str">
        <f t="shared" si="9"/>
        <v xml:space="preserve"> </v>
      </c>
      <c r="Z20" s="249">
        <v>0.35</v>
      </c>
      <c r="AA20" s="250" t="e">
        <f t="shared" si="10"/>
        <v>#VALUE!</v>
      </c>
      <c r="AB20" s="250" t="e">
        <f t="shared" si="10"/>
        <v>#VALUE!</v>
      </c>
      <c r="AC20" s="250" t="e">
        <f t="shared" si="10"/>
        <v>#VALUE!</v>
      </c>
      <c r="AD20" s="250" t="e">
        <f t="shared" si="10"/>
        <v>#VALUE!</v>
      </c>
      <c r="AE20" s="250" t="e">
        <f t="shared" si="10"/>
        <v>#VALUE!</v>
      </c>
      <c r="AF20" s="250" t="e">
        <f t="shared" si="10"/>
        <v>#VALUE!</v>
      </c>
      <c r="AG20" s="250" t="e">
        <f t="shared" si="10"/>
        <v>#VALUE!</v>
      </c>
      <c r="AH20" s="251" t="e">
        <f t="shared" si="10"/>
        <v>#VALUE!</v>
      </c>
      <c r="AK20" s="551"/>
      <c r="AL20" s="14"/>
      <c r="AM20" s="551"/>
      <c r="AN20" s="14"/>
      <c r="AO20" s="14"/>
    </row>
    <row r="21" spans="1:41" ht="14.25" customHeight="1">
      <c r="A21" s="1934"/>
      <c r="B21" s="1935"/>
      <c r="C21" s="260" t="s">
        <v>147</v>
      </c>
      <c r="D21" s="678"/>
      <c r="E21" s="238" t="str">
        <f>IF(D21=0," ",IF($B$18="TCAC",VLOOKUP($A$18,TCACrents,4,FALSE),IF($B$18="CalHFA",VLOOKUP($A$18,CalHFArents,4,FALSE),VLOOKUP($A$18,Otherrents,4,FALSE))))</f>
        <v xml:space="preserve"> </v>
      </c>
      <c r="F21" s="239" t="str">
        <f>IF(D21&gt;0,-Misc.!$AD$49," ")</f>
        <v xml:space="preserve"> </v>
      </c>
      <c r="G21" s="238" t="str">
        <f t="shared" si="11"/>
        <v xml:space="preserve"> </v>
      </c>
      <c r="H21" s="233">
        <v>0</v>
      </c>
      <c r="I21" s="238" t="str">
        <f t="shared" si="8"/>
        <v xml:space="preserve"> </v>
      </c>
      <c r="J21" s="258" t="str">
        <f t="shared" si="9"/>
        <v xml:space="preserve"> </v>
      </c>
      <c r="Z21" s="249">
        <v>0.3</v>
      </c>
      <c r="AA21" s="250" t="e">
        <f t="shared" si="10"/>
        <v>#VALUE!</v>
      </c>
      <c r="AB21" s="250" t="e">
        <f t="shared" si="10"/>
        <v>#VALUE!</v>
      </c>
      <c r="AC21" s="250" t="e">
        <f t="shared" si="10"/>
        <v>#VALUE!</v>
      </c>
      <c r="AD21" s="250" t="e">
        <f t="shared" si="10"/>
        <v>#VALUE!</v>
      </c>
      <c r="AE21" s="250" t="e">
        <f t="shared" si="10"/>
        <v>#VALUE!</v>
      </c>
      <c r="AF21" s="250" t="e">
        <f t="shared" si="10"/>
        <v>#VALUE!</v>
      </c>
      <c r="AG21" s="250" t="e">
        <f t="shared" si="10"/>
        <v>#VALUE!</v>
      </c>
      <c r="AH21" s="251" t="e">
        <f t="shared" si="10"/>
        <v>#VALUE!</v>
      </c>
      <c r="AK21" s="123"/>
    </row>
    <row r="22" spans="1:41" ht="14.45" customHeight="1">
      <c r="A22" s="571" t="s">
        <v>413</v>
      </c>
      <c r="B22" s="261"/>
      <c r="C22" s="260" t="s">
        <v>148</v>
      </c>
      <c r="D22" s="678"/>
      <c r="E22" s="238" t="str">
        <f>IF(D22=0," ",IF($B$18="TCAC",VLOOKUP($A$18,TCACrents,5,FALSE),IF($B$18="CalHFA",VLOOKUP($A$18,CalHFArents,5,FALSE),VLOOKUP($A$18,Otherrents,5,FALSE))))</f>
        <v xml:space="preserve"> </v>
      </c>
      <c r="F22" s="239" t="str">
        <f>IF(D22&gt;0,-Misc.!$AG$49," ")</f>
        <v xml:space="preserve"> </v>
      </c>
      <c r="G22" s="238" t="str">
        <f t="shared" si="11"/>
        <v xml:space="preserve"> </v>
      </c>
      <c r="H22" s="233">
        <v>0</v>
      </c>
      <c r="I22" s="238" t="str">
        <f t="shared" si="8"/>
        <v xml:space="preserve"> </v>
      </c>
      <c r="J22" s="258" t="str">
        <f t="shared" si="9"/>
        <v xml:space="preserve"> </v>
      </c>
      <c r="Z22" s="249">
        <v>0.25</v>
      </c>
      <c r="AA22" s="250" t="e">
        <f t="shared" si="10"/>
        <v>#VALUE!</v>
      </c>
      <c r="AB22" s="250" t="e">
        <f t="shared" si="10"/>
        <v>#VALUE!</v>
      </c>
      <c r="AC22" s="250" t="e">
        <f t="shared" si="10"/>
        <v>#VALUE!</v>
      </c>
      <c r="AD22" s="250" t="e">
        <f t="shared" si="10"/>
        <v>#VALUE!</v>
      </c>
      <c r="AE22" s="250" t="e">
        <f t="shared" si="10"/>
        <v>#VALUE!</v>
      </c>
      <c r="AF22" s="250" t="e">
        <f t="shared" si="10"/>
        <v>#VALUE!</v>
      </c>
      <c r="AG22" s="250" t="e">
        <f t="shared" si="10"/>
        <v>#VALUE!</v>
      </c>
      <c r="AH22" s="251" t="e">
        <f t="shared" si="10"/>
        <v>#VALUE!</v>
      </c>
      <c r="AK22" s="123"/>
    </row>
    <row r="23" spans="1:41" ht="14.45" customHeight="1">
      <c r="A23" s="571" t="s">
        <v>414</v>
      </c>
      <c r="B23" s="572" t="e">
        <f>+D25/D$110</f>
        <v>#DIV/0!</v>
      </c>
      <c r="C23" s="260" t="s">
        <v>149</v>
      </c>
      <c r="D23" s="678"/>
      <c r="E23" s="238" t="str">
        <f>IF(D23=0," ",IF($B$18="TCAC",VLOOKUP($A$18,TCACrents,6,FALSE),IF($B$18="CalHFA",VLOOKUP($A$18,CalHFArents,6,FALSE),VLOOKUP($A$18,Otherrents,6,FALSE))))</f>
        <v xml:space="preserve"> </v>
      </c>
      <c r="F23" s="239" t="str">
        <f>IF(D23&gt;0,-Misc.!$AJ$49," ")</f>
        <v xml:space="preserve"> </v>
      </c>
      <c r="G23" s="238" t="str">
        <f t="shared" si="11"/>
        <v xml:space="preserve"> </v>
      </c>
      <c r="H23" s="233">
        <v>0</v>
      </c>
      <c r="I23" s="238" t="str">
        <f t="shared" si="8"/>
        <v xml:space="preserve"> </v>
      </c>
      <c r="J23" s="258" t="str">
        <f t="shared" si="9"/>
        <v xml:space="preserve"> </v>
      </c>
      <c r="Z23" s="249">
        <v>0.2</v>
      </c>
      <c r="AA23" s="250" t="e">
        <f t="shared" si="10"/>
        <v>#VALUE!</v>
      </c>
      <c r="AB23" s="250" t="e">
        <f t="shared" si="10"/>
        <v>#VALUE!</v>
      </c>
      <c r="AC23" s="250" t="e">
        <f t="shared" si="10"/>
        <v>#VALUE!</v>
      </c>
      <c r="AD23" s="250" t="e">
        <f t="shared" si="10"/>
        <v>#VALUE!</v>
      </c>
      <c r="AE23" s="250" t="e">
        <f t="shared" si="10"/>
        <v>#VALUE!</v>
      </c>
      <c r="AF23" s="250" t="e">
        <f t="shared" si="10"/>
        <v>#VALUE!</v>
      </c>
      <c r="AG23" s="250" t="e">
        <f t="shared" si="10"/>
        <v>#VALUE!</v>
      </c>
      <c r="AH23" s="251" t="e">
        <f t="shared" si="10"/>
        <v>#VALUE!</v>
      </c>
      <c r="AK23" s="123"/>
    </row>
    <row r="24" spans="1:41" ht="14.45" customHeight="1" thickBot="1">
      <c r="A24" s="264"/>
      <c r="B24" s="112"/>
      <c r="C24" s="268" t="s">
        <v>150</v>
      </c>
      <c r="D24" s="679"/>
      <c r="E24" s="240" t="str">
        <f>IF(D24=0," ",IF($B$18="TCAC",VLOOKUP($A$18,TCACrents,7,FALSE),IF($B$18="CalHFA",VLOOKUP($A$18,CalHFArents,7,FALSE),VLOOKUP($A$18,Otherrents,7,FALSE))))</f>
        <v xml:space="preserve"> </v>
      </c>
      <c r="F24" s="241" t="str">
        <f>IF(D24&gt;0,-Misc.!$AM$49," ")</f>
        <v xml:space="preserve"> </v>
      </c>
      <c r="G24" s="240" t="str">
        <f t="shared" si="11"/>
        <v xml:space="preserve"> </v>
      </c>
      <c r="H24" s="234">
        <v>0</v>
      </c>
      <c r="I24" s="240" t="str">
        <f t="shared" si="8"/>
        <v xml:space="preserve"> </v>
      </c>
      <c r="J24" s="269" t="str">
        <f t="shared" si="9"/>
        <v xml:space="preserve"> </v>
      </c>
      <c r="Z24" s="254">
        <v>0.15</v>
      </c>
      <c r="AA24" s="255" t="e">
        <f t="shared" si="10"/>
        <v>#VALUE!</v>
      </c>
      <c r="AB24" s="255" t="e">
        <f t="shared" si="10"/>
        <v>#VALUE!</v>
      </c>
      <c r="AC24" s="255" t="e">
        <f t="shared" si="10"/>
        <v>#VALUE!</v>
      </c>
      <c r="AD24" s="255" t="e">
        <f t="shared" si="10"/>
        <v>#VALUE!</v>
      </c>
      <c r="AE24" s="255" t="e">
        <f t="shared" si="10"/>
        <v>#VALUE!</v>
      </c>
      <c r="AF24" s="255" t="e">
        <f t="shared" si="10"/>
        <v>#VALUE!</v>
      </c>
      <c r="AG24" s="255" t="e">
        <f t="shared" si="10"/>
        <v>#VALUE!</v>
      </c>
      <c r="AH24" s="256" t="e">
        <f t="shared" si="10"/>
        <v>#VALUE!</v>
      </c>
      <c r="AK24" s="123"/>
    </row>
    <row r="25" spans="1:41" ht="14.45" customHeight="1" thickBot="1">
      <c r="A25" s="273"/>
      <c r="B25" s="274"/>
      <c r="C25" s="274"/>
      <c r="D25" s="677">
        <f>SUM(D18:D24)</f>
        <v>0</v>
      </c>
      <c r="E25" s="275" t="s">
        <v>801</v>
      </c>
      <c r="F25" s="329"/>
      <c r="G25" s="329"/>
      <c r="H25" s="329"/>
      <c r="I25" s="330">
        <f>SUM(I18:I24)</f>
        <v>0</v>
      </c>
      <c r="J25" s="331">
        <f>SUM(J18:J24)</f>
        <v>0</v>
      </c>
      <c r="Z25" t="b">
        <v>0</v>
      </c>
      <c r="AA25" t="b">
        <v>1</v>
      </c>
      <c r="AK25" s="123"/>
    </row>
    <row r="26" spans="1:41" ht="14.45" customHeight="1">
      <c r="A26" s="230"/>
      <c r="B26" s="231"/>
      <c r="C26" s="276" t="s">
        <v>654</v>
      </c>
      <c r="D26" s="680">
        <v>0</v>
      </c>
      <c r="E26" s="235">
        <v>0</v>
      </c>
      <c r="F26" s="322">
        <v>0</v>
      </c>
      <c r="G26" s="235">
        <v>0</v>
      </c>
      <c r="H26" s="235">
        <v>0</v>
      </c>
      <c r="I26" s="277" t="str">
        <f>IF(D26&gt;0,+H26*D26," ")</f>
        <v xml:space="preserve"> </v>
      </c>
      <c r="J26" s="278" t="str">
        <f t="shared" ref="J26:J32" si="12">IF(D26&gt;0,G26*D26," ")</f>
        <v xml:space="preserve"> </v>
      </c>
      <c r="Z26" s="65" t="s">
        <v>326</v>
      </c>
      <c r="AA26" s="68"/>
      <c r="AB26" s="68"/>
      <c r="AC26" s="68"/>
      <c r="AD26" s="68"/>
      <c r="AE26" s="68"/>
      <c r="AF26" s="68"/>
      <c r="AG26" s="68"/>
      <c r="AH26" s="91"/>
      <c r="AK26" s="123"/>
    </row>
    <row r="27" spans="1:41" ht="14.45" customHeight="1">
      <c r="A27" s="259"/>
      <c r="B27" s="112"/>
      <c r="C27" s="260" t="s">
        <v>145</v>
      </c>
      <c r="D27" s="678">
        <v>0</v>
      </c>
      <c r="E27" s="238" t="str">
        <f>IF(D27=0," ",IF($B$26="TCAC",VLOOKUP($A$26,TCACrents,2,FALSE),IF($B$26="CalHFA",VLOOKUP($A$26,CalHFArents,2,FALSE),VLOOKUP($A$26,Otherrents,2,FALSE))))</f>
        <v xml:space="preserve"> </v>
      </c>
      <c r="F27" s="239" t="str">
        <f>IF(D27&gt;0,-Misc.!$X$49," ")</f>
        <v xml:space="preserve"> </v>
      </c>
      <c r="G27" s="238" t="str">
        <f t="shared" ref="G27:G32" si="13">IF(D27&gt;0,SUM(E27:F27)," ")</f>
        <v xml:space="preserve"> </v>
      </c>
      <c r="H27" s="233">
        <v>0</v>
      </c>
      <c r="I27" s="238" t="str">
        <f t="shared" ref="I27:I32" si="14">IF(D27&gt;0,+H27*D27," ")</f>
        <v xml:space="preserve"> </v>
      </c>
      <c r="J27" s="258" t="str">
        <f t="shared" si="12"/>
        <v xml:space="preserve"> </v>
      </c>
      <c r="Z27" s="262" t="s">
        <v>72</v>
      </c>
      <c r="AB27" s="112"/>
      <c r="AC27" s="112"/>
      <c r="AD27" s="112"/>
      <c r="AE27" s="112"/>
      <c r="AF27" s="112"/>
      <c r="AG27" s="112"/>
      <c r="AH27" s="263"/>
      <c r="AK27" s="123"/>
    </row>
    <row r="28" spans="1:41" ht="14.45" customHeight="1">
      <c r="A28" s="571" t="s">
        <v>413</v>
      </c>
      <c r="B28" s="261"/>
      <c r="C28" s="260" t="s">
        <v>146</v>
      </c>
      <c r="D28" s="678">
        <v>0</v>
      </c>
      <c r="E28" s="238" t="str">
        <f>IF(D28=0," ",IF($B$26="TCAC",VLOOKUP($A$26,TCACrents,3,FALSE),IF($B$26="CalHFA",VLOOKUP($A$26,CalHFArents,3,FALSE),VLOOKUP($A$26,Otherrents,3,FALSE))))</f>
        <v xml:space="preserve"> </v>
      </c>
      <c r="F28" s="239" t="str">
        <f>IF(D28&gt;0,-Misc.!$AA$49," ")</f>
        <v xml:space="preserve"> </v>
      </c>
      <c r="G28" s="238" t="str">
        <f t="shared" si="13"/>
        <v xml:space="preserve"> </v>
      </c>
      <c r="H28" s="233">
        <v>0</v>
      </c>
      <c r="I28" s="238" t="str">
        <f t="shared" si="14"/>
        <v xml:space="preserve"> </v>
      </c>
      <c r="J28" s="258" t="str">
        <f t="shared" si="12"/>
        <v xml:space="preserve"> </v>
      </c>
      <c r="Z28" s="264"/>
      <c r="AG28" s="112"/>
      <c r="AH28" s="263"/>
      <c r="AK28" s="123"/>
    </row>
    <row r="29" spans="1:41" ht="14.45" customHeight="1">
      <c r="A29" s="571" t="s">
        <v>414</v>
      </c>
      <c r="B29" s="572" t="e">
        <f>+D33/D$110</f>
        <v>#DIV/0!</v>
      </c>
      <c r="C29" s="260" t="s">
        <v>147</v>
      </c>
      <c r="D29" s="678">
        <v>0</v>
      </c>
      <c r="E29" s="238" t="str">
        <f>IF(D29=0," ",IF($B$26="TCAC",VLOOKUP($A$26,TCACrents,4,FALSE),IF($B$26="CalHFA",VLOOKUP($A$26,CalHFArents,4,FALSE),VLOOKUP($A$26,Otherrents,4,FALSE))))</f>
        <v xml:space="preserve"> </v>
      </c>
      <c r="F29" s="239" t="str">
        <f>IF(D29&gt;0,-Misc.!$AD$49," ")</f>
        <v xml:space="preserve"> </v>
      </c>
      <c r="G29" s="238" t="str">
        <f t="shared" si="13"/>
        <v xml:space="preserve"> </v>
      </c>
      <c r="H29" s="233">
        <v>0</v>
      </c>
      <c r="I29" s="238" t="str">
        <f t="shared" si="14"/>
        <v xml:space="preserve"> </v>
      </c>
      <c r="J29" s="258" t="str">
        <f t="shared" si="12"/>
        <v xml:space="preserve"> </v>
      </c>
      <c r="Z29" s="264" t="s">
        <v>318</v>
      </c>
      <c r="AA29" s="265"/>
      <c r="AB29" s="265"/>
      <c r="AC29" s="265"/>
      <c r="AD29" s="265"/>
      <c r="AE29" s="265"/>
      <c r="AF29" s="265"/>
      <c r="AG29" s="265"/>
      <c r="AH29" s="263"/>
      <c r="AK29" s="123"/>
    </row>
    <row r="30" spans="1:41" ht="14.45" customHeight="1">
      <c r="A30" s="264"/>
      <c r="B30" s="112"/>
      <c r="C30" s="260" t="s">
        <v>148</v>
      </c>
      <c r="D30" s="678">
        <v>0</v>
      </c>
      <c r="E30" s="238" t="str">
        <f>IF(D30=0," ",IF($B$26="TCAC",VLOOKUP($A$26,TCACrents,5,FALSE),IF($B$26="CalHFA",VLOOKUP($A$26,CalHFArents,5,FALSE),VLOOKUP($A$26,Otherrents,5,FALSE))))</f>
        <v xml:space="preserve"> </v>
      </c>
      <c r="F30" s="239" t="str">
        <f>IF(D30&gt;0,-Misc.!$AG$49," ")</f>
        <v xml:space="preserve"> </v>
      </c>
      <c r="G30" s="238" t="str">
        <f t="shared" si="13"/>
        <v xml:space="preserve"> </v>
      </c>
      <c r="H30" s="233">
        <v>0</v>
      </c>
      <c r="I30" s="238" t="str">
        <f t="shared" si="14"/>
        <v xml:space="preserve"> </v>
      </c>
      <c r="J30" s="258" t="str">
        <f t="shared" si="12"/>
        <v xml:space="preserve"> </v>
      </c>
      <c r="Z30" s="266" t="s">
        <v>319</v>
      </c>
      <c r="AA30" s="267" t="s">
        <v>145</v>
      </c>
      <c r="AB30" s="267" t="s">
        <v>146</v>
      </c>
      <c r="AC30" s="267" t="s">
        <v>147</v>
      </c>
      <c r="AD30" s="267" t="s">
        <v>148</v>
      </c>
      <c r="AE30" s="267" t="s">
        <v>149</v>
      </c>
      <c r="AF30" s="267" t="s">
        <v>150</v>
      </c>
      <c r="AG30" s="112"/>
      <c r="AH30" s="263"/>
      <c r="AK30" s="123"/>
    </row>
    <row r="31" spans="1:41" ht="14.45" customHeight="1" thickBot="1">
      <c r="A31" s="264"/>
      <c r="B31" s="112"/>
      <c r="C31" s="260" t="s">
        <v>149</v>
      </c>
      <c r="D31" s="678">
        <v>0</v>
      </c>
      <c r="E31" s="238" t="str">
        <f>IF(D31=0," ",IF($B$26="TCAC",VLOOKUP($A$26,TCACrents,6,FALSE),IF($B$26="CalHFA",VLOOKUP($A$26,CalHFArents,6,FALSE),VLOOKUP($A$26,Otherrents,6,FALSE))))</f>
        <v xml:space="preserve"> </v>
      </c>
      <c r="F31" s="239" t="str">
        <f>IF(D31&gt;0,-Misc.!$AJ$49," ")</f>
        <v xml:space="preserve"> </v>
      </c>
      <c r="G31" s="238" t="str">
        <f t="shared" si="13"/>
        <v xml:space="preserve"> </v>
      </c>
      <c r="H31" s="233">
        <v>0</v>
      </c>
      <c r="I31" s="238" t="str">
        <f t="shared" si="14"/>
        <v xml:space="preserve"> </v>
      </c>
      <c r="J31" s="258" t="str">
        <f t="shared" si="12"/>
        <v xml:space="preserve"> </v>
      </c>
      <c r="Z31" s="270">
        <v>0.5</v>
      </c>
      <c r="AA31" s="255" t="e">
        <f t="shared" ref="AA31:AF31" si="15">+AA17/12*0.3</f>
        <v>#VALUE!</v>
      </c>
      <c r="AB31" s="255" t="e">
        <f t="shared" si="15"/>
        <v>#VALUE!</v>
      </c>
      <c r="AC31" s="255" t="e">
        <f t="shared" si="15"/>
        <v>#VALUE!</v>
      </c>
      <c r="AD31" s="255" t="e">
        <f t="shared" si="15"/>
        <v>#VALUE!</v>
      </c>
      <c r="AE31" s="255" t="e">
        <f t="shared" si="15"/>
        <v>#VALUE!</v>
      </c>
      <c r="AF31" s="255" t="e">
        <f t="shared" si="15"/>
        <v>#VALUE!</v>
      </c>
      <c r="AG31" s="271"/>
      <c r="AH31" s="272"/>
      <c r="AK31" s="123"/>
    </row>
    <row r="32" spans="1:41" ht="14.45" customHeight="1" thickBot="1">
      <c r="A32" s="264"/>
      <c r="B32" s="112"/>
      <c r="C32" s="268" t="s">
        <v>150</v>
      </c>
      <c r="D32" s="679">
        <v>0</v>
      </c>
      <c r="E32" s="240" t="str">
        <f>IF(D32=0," ",IF($B$26="TCAC",VLOOKUP($A$26,TCACrents,7,FALSE),IF($B$26="CalHFA",VLOOKUP($A$26,CalHFArents,7,FALSE),VLOOKUP($A$26,Otherrents,7,FALSE))))</f>
        <v xml:space="preserve"> </v>
      </c>
      <c r="F32" s="241" t="str">
        <f>IF(D32&gt;0,-Misc.!$AM$49," ")</f>
        <v xml:space="preserve"> </v>
      </c>
      <c r="G32" s="240" t="str">
        <f t="shared" si="13"/>
        <v xml:space="preserve"> </v>
      </c>
      <c r="H32" s="234">
        <v>0</v>
      </c>
      <c r="I32" s="240" t="str">
        <f t="shared" si="14"/>
        <v xml:space="preserve"> </v>
      </c>
      <c r="J32" s="269" t="str">
        <f t="shared" si="12"/>
        <v xml:space="preserve"> </v>
      </c>
      <c r="AG32" s="112"/>
      <c r="AH32" s="112"/>
      <c r="AK32" s="123"/>
    </row>
    <row r="33" spans="1:34" ht="14.45" customHeight="1" thickBot="1">
      <c r="A33" s="273"/>
      <c r="B33" s="274"/>
      <c r="C33" s="274"/>
      <c r="D33" s="677">
        <f>SUM(D26:D32)</f>
        <v>0</v>
      </c>
      <c r="E33" s="275" t="s">
        <v>801</v>
      </c>
      <c r="F33" s="329"/>
      <c r="G33" s="329"/>
      <c r="H33" s="329"/>
      <c r="I33" s="330">
        <f>SUM(I26:I32)</f>
        <v>0</v>
      </c>
      <c r="J33" s="331">
        <f>SUM(J26:J32)</f>
        <v>0</v>
      </c>
      <c r="Z33" s="279" t="s">
        <v>325</v>
      </c>
      <c r="AA33" s="111"/>
      <c r="AB33" s="111"/>
      <c r="AC33" s="111"/>
      <c r="AD33" s="111"/>
      <c r="AE33" s="111"/>
      <c r="AF33" s="111"/>
      <c r="AG33" s="280"/>
      <c r="AH33" s="112"/>
    </row>
    <row r="34" spans="1:34" ht="14.45" customHeight="1">
      <c r="A34" s="230"/>
      <c r="B34" s="231"/>
      <c r="C34" s="276" t="s">
        <v>654</v>
      </c>
      <c r="D34" s="680">
        <v>0</v>
      </c>
      <c r="E34" s="235">
        <v>0</v>
      </c>
      <c r="F34" s="322">
        <v>0</v>
      </c>
      <c r="G34" s="235">
        <v>0</v>
      </c>
      <c r="H34" s="235">
        <v>0</v>
      </c>
      <c r="I34" s="277" t="str">
        <f>IF(D34&gt;0,+H34*D34," ")</f>
        <v xml:space="preserve"> </v>
      </c>
      <c r="J34" s="278" t="str">
        <f t="shared" ref="J34:J40" si="16">IF(D34&gt;0,G34*D34," ")</f>
        <v xml:space="preserve"> </v>
      </c>
      <c r="Z34" s="262" t="s">
        <v>327</v>
      </c>
      <c r="AB34" s="281"/>
      <c r="AC34" s="281"/>
      <c r="AD34" s="281"/>
      <c r="AE34" s="112"/>
      <c r="AF34" s="112"/>
      <c r="AG34" s="263"/>
      <c r="AH34" s="112"/>
    </row>
    <row r="35" spans="1:34" ht="14.45" customHeight="1">
      <c r="A35" s="259"/>
      <c r="B35" s="112"/>
      <c r="C35" s="260" t="s">
        <v>145</v>
      </c>
      <c r="D35" s="678">
        <v>0</v>
      </c>
      <c r="E35" s="238" t="str">
        <f>IF(D35=0," ",IF($B$34="TCAC",VLOOKUP($A$34,TCACrents,2,FALSE),IF($B$34="CalHFA",VLOOKUP($A$34,CalHFArents,2,FALSE),VLOOKUP($A$34,Otherrents,2,FALSE))))</f>
        <v xml:space="preserve"> </v>
      </c>
      <c r="F35" s="239" t="str">
        <f>IF(D35&gt;0,-Misc.!$X$49," ")</f>
        <v xml:space="preserve"> </v>
      </c>
      <c r="G35" s="238" t="str">
        <f t="shared" ref="G35:G40" si="17">IF(D35&gt;0,SUM(E35:F35)," ")</f>
        <v xml:space="preserve"> </v>
      </c>
      <c r="H35" s="233">
        <v>0</v>
      </c>
      <c r="I35" s="238" t="str">
        <f t="shared" ref="I35:I40" si="18">IF(D35&gt;0,+H35*D35," ")</f>
        <v xml:space="preserve"> </v>
      </c>
      <c r="J35" s="258" t="str">
        <f t="shared" si="16"/>
        <v xml:space="preserve"> </v>
      </c>
      <c r="Z35" s="282"/>
      <c r="AA35" s="112"/>
      <c r="AB35" s="281"/>
      <c r="AC35" s="281"/>
      <c r="AD35" s="281"/>
      <c r="AE35" s="112"/>
      <c r="AF35" s="112"/>
      <c r="AG35" s="263"/>
      <c r="AH35" s="112"/>
    </row>
    <row r="36" spans="1:34" ht="14.45" customHeight="1">
      <c r="A36" s="571" t="s">
        <v>413</v>
      </c>
      <c r="B36" s="261"/>
      <c r="C36" s="260" t="s">
        <v>146</v>
      </c>
      <c r="D36" s="678">
        <v>0</v>
      </c>
      <c r="E36" s="238" t="str">
        <f>IF(D36=0," ",IF($B$34="TCAC",VLOOKUP($A$34,TCACrents,3,FALSE),IF($B$34="CalHFA",VLOOKUP($A$34,CalHFArents,3,FALSE),VLOOKUP($A$34,Otherrents,3,FALSE))))</f>
        <v xml:space="preserve"> </v>
      </c>
      <c r="F36" s="239" t="str">
        <f>IF(D36&gt;0,-Misc.!$AA$49," ")</f>
        <v xml:space="preserve"> </v>
      </c>
      <c r="G36" s="238" t="str">
        <f t="shared" si="17"/>
        <v xml:space="preserve"> </v>
      </c>
      <c r="H36" s="233">
        <v>0</v>
      </c>
      <c r="I36" s="238" t="str">
        <f t="shared" si="18"/>
        <v xml:space="preserve"> </v>
      </c>
      <c r="J36" s="258" t="str">
        <f t="shared" si="16"/>
        <v xml:space="preserve"> </v>
      </c>
      <c r="Z36" s="10" t="s">
        <v>798</v>
      </c>
      <c r="AG36" s="283"/>
      <c r="AH36" s="112"/>
    </row>
    <row r="37" spans="1:34" ht="14.45" customHeight="1">
      <c r="A37" s="571" t="s">
        <v>414</v>
      </c>
      <c r="B37" s="572" t="e">
        <f>+D41/D$110</f>
        <v>#DIV/0!</v>
      </c>
      <c r="C37" s="260" t="s">
        <v>147</v>
      </c>
      <c r="D37" s="678">
        <v>0</v>
      </c>
      <c r="E37" s="238" t="str">
        <f>IF(D37=0," ",IF($B$34="TCAC",VLOOKUP($A$34,TCACrents,4,FALSE),IF($B$34="CalHFA",VLOOKUP($A$34,CalHFArents,4,FALSE),VLOOKUP($A$34,Otherrents,4,FALSE))))</f>
        <v xml:space="preserve"> </v>
      </c>
      <c r="F37" s="239" t="str">
        <f>IF(D37&gt;0,-Misc.!$AD$49," ")</f>
        <v xml:space="preserve"> </v>
      </c>
      <c r="G37" s="238" t="str">
        <f t="shared" si="17"/>
        <v xml:space="preserve"> </v>
      </c>
      <c r="H37" s="233">
        <v>0</v>
      </c>
      <c r="I37" s="238" t="str">
        <f t="shared" si="18"/>
        <v xml:space="preserve"> </v>
      </c>
      <c r="J37" s="258" t="str">
        <f t="shared" si="16"/>
        <v xml:space="preserve"> </v>
      </c>
      <c r="Z37" s="284" t="s">
        <v>328</v>
      </c>
      <c r="AA37" s="267" t="s">
        <v>145</v>
      </c>
      <c r="AB37" s="267" t="s">
        <v>146</v>
      </c>
      <c r="AC37" s="267" t="s">
        <v>147</v>
      </c>
      <c r="AD37" s="267" t="s">
        <v>148</v>
      </c>
      <c r="AE37" s="267" t="s">
        <v>149</v>
      </c>
      <c r="AF37" s="267" t="s">
        <v>150</v>
      </c>
      <c r="AG37" s="263"/>
      <c r="AH37" s="112"/>
    </row>
    <row r="38" spans="1:34" ht="14.45" customHeight="1">
      <c r="A38" s="264"/>
      <c r="B38" s="112"/>
      <c r="C38" s="260" t="s">
        <v>148</v>
      </c>
      <c r="D38" s="678">
        <v>0</v>
      </c>
      <c r="E38" s="238" t="str">
        <f>IF(D38=0," ",IF($B$34="TCAC",VLOOKUP($A$34,TCACrents,5,FALSE),IF($B$34="CalHFA",VLOOKUP($A$34,CalHFArents,5,FALSE),VLOOKUP($A$34,Otherrents,5,FALSE))))</f>
        <v xml:space="preserve"> </v>
      </c>
      <c r="F38" s="239" t="str">
        <f>IF(D38&gt;0,-Misc.!$AG$49," ")</f>
        <v xml:space="preserve"> </v>
      </c>
      <c r="G38" s="238" t="str">
        <f t="shared" si="17"/>
        <v xml:space="preserve"> </v>
      </c>
      <c r="H38" s="233">
        <v>0</v>
      </c>
      <c r="I38" s="238" t="str">
        <f t="shared" si="18"/>
        <v xml:space="preserve"> </v>
      </c>
      <c r="J38" s="258" t="str">
        <f t="shared" si="16"/>
        <v xml:space="preserve"> </v>
      </c>
      <c r="Z38" s="266">
        <v>1.2</v>
      </c>
      <c r="AA38" s="250" t="e">
        <f t="shared" ref="AA38:AA45" si="19">TRUNC(AA9/12*0.3)</f>
        <v>#VALUE!</v>
      </c>
      <c r="AB38" s="250" t="e">
        <f t="shared" ref="AB38:AB45" si="20">TRUNC((AA9+AB9)/2/12*0.3)</f>
        <v>#VALUE!</v>
      </c>
      <c r="AC38" s="250" t="e">
        <f t="shared" ref="AC38:AC45" si="21">TRUNC(AC9/12*0.3)</f>
        <v>#VALUE!</v>
      </c>
      <c r="AD38" s="250" t="e">
        <f t="shared" ref="AD38:AD45" si="22">TRUNC((AD9+AE9)/2/12*0.3)</f>
        <v>#VALUE!</v>
      </c>
      <c r="AE38" s="250" t="e">
        <f t="shared" ref="AE38:AE45" si="23">TRUNC(AF9/12*0.3)</f>
        <v>#VALUE!</v>
      </c>
      <c r="AF38" s="250" t="e">
        <f t="shared" ref="AF38:AF45" si="24">TRUNC((AG9+AH9)/2/12*0.3)</f>
        <v>#VALUE!</v>
      </c>
      <c r="AG38" s="263"/>
      <c r="AH38" s="112"/>
    </row>
    <row r="39" spans="1:34" ht="14.45" customHeight="1">
      <c r="A39" s="264"/>
      <c r="B39" s="112"/>
      <c r="C39" s="260" t="s">
        <v>149</v>
      </c>
      <c r="D39" s="678">
        <v>0</v>
      </c>
      <c r="E39" s="238" t="str">
        <f>IF(D39=0," ",IF($B$34="TCAC",VLOOKUP($A$34,TCACrents,6,FALSE),IF($B$34="CalHFA",VLOOKUP($A$34,CalHFArents,6,FALSE),VLOOKUP($A$34,Otherrents,6,FALSE))))</f>
        <v xml:space="preserve"> </v>
      </c>
      <c r="F39" s="239" t="str">
        <f>IF(D39&gt;0,-Misc.!$AJ$49," ")</f>
        <v xml:space="preserve"> </v>
      </c>
      <c r="G39" s="238" t="str">
        <f t="shared" si="17"/>
        <v xml:space="preserve"> </v>
      </c>
      <c r="H39" s="233">
        <v>0</v>
      </c>
      <c r="I39" s="238" t="str">
        <f t="shared" si="18"/>
        <v xml:space="preserve"> </v>
      </c>
      <c r="J39" s="258" t="str">
        <f t="shared" si="16"/>
        <v xml:space="preserve"> </v>
      </c>
      <c r="Z39" s="266">
        <v>1.1000000000000001</v>
      </c>
      <c r="AA39" s="250" t="e">
        <f t="shared" si="19"/>
        <v>#VALUE!</v>
      </c>
      <c r="AB39" s="250" t="e">
        <f t="shared" si="20"/>
        <v>#VALUE!</v>
      </c>
      <c r="AC39" s="250" t="e">
        <f t="shared" si="21"/>
        <v>#VALUE!</v>
      </c>
      <c r="AD39" s="250" t="e">
        <f t="shared" si="22"/>
        <v>#VALUE!</v>
      </c>
      <c r="AE39" s="250" t="e">
        <f t="shared" si="23"/>
        <v>#VALUE!</v>
      </c>
      <c r="AF39" s="250" t="e">
        <f t="shared" si="24"/>
        <v>#VALUE!</v>
      </c>
      <c r="AG39" s="263"/>
      <c r="AH39" s="112"/>
    </row>
    <row r="40" spans="1:34" ht="14.45" customHeight="1" thickBot="1">
      <c r="A40" s="264"/>
      <c r="B40" s="112"/>
      <c r="C40" s="268" t="s">
        <v>150</v>
      </c>
      <c r="D40" s="679">
        <v>0</v>
      </c>
      <c r="E40" s="240" t="str">
        <f>IF(D40=0," ",IF($B$34="TCAC",VLOOKUP($A$34,TCACrents,7,FALSE),IF($B$34="CalHFA",VLOOKUP($A$34,CalHFArents,7,FALSE),VLOOKUP($A$34,Otherrents,7,FALSE))))</f>
        <v xml:space="preserve"> </v>
      </c>
      <c r="F40" s="241" t="str">
        <f>IF(D40&gt;0,-Misc.!$AM$49," ")</f>
        <v xml:space="preserve"> </v>
      </c>
      <c r="G40" s="240" t="str">
        <f t="shared" si="17"/>
        <v xml:space="preserve"> </v>
      </c>
      <c r="H40" s="234">
        <v>0</v>
      </c>
      <c r="I40" s="240" t="str">
        <f t="shared" si="18"/>
        <v xml:space="preserve"> </v>
      </c>
      <c r="J40" s="269" t="str">
        <f t="shared" si="16"/>
        <v xml:space="preserve"> </v>
      </c>
      <c r="Z40" s="266">
        <v>1</v>
      </c>
      <c r="AA40" s="250" t="e">
        <f t="shared" si="19"/>
        <v>#VALUE!</v>
      </c>
      <c r="AB40" s="250" t="e">
        <f t="shared" si="20"/>
        <v>#VALUE!</v>
      </c>
      <c r="AC40" s="250" t="e">
        <f t="shared" si="21"/>
        <v>#VALUE!</v>
      </c>
      <c r="AD40" s="250" t="e">
        <f t="shared" si="22"/>
        <v>#VALUE!</v>
      </c>
      <c r="AE40" s="250" t="e">
        <f t="shared" si="23"/>
        <v>#VALUE!</v>
      </c>
      <c r="AF40" s="250" t="e">
        <f t="shared" si="24"/>
        <v>#VALUE!</v>
      </c>
      <c r="AG40" s="263"/>
      <c r="AH40" s="112"/>
    </row>
    <row r="41" spans="1:34" ht="14.45" customHeight="1" thickBot="1">
      <c r="A41" s="273"/>
      <c r="B41" s="274"/>
      <c r="C41" s="274"/>
      <c r="D41" s="677">
        <f>SUM(D34:D40)</f>
        <v>0</v>
      </c>
      <c r="E41" s="275" t="s">
        <v>801</v>
      </c>
      <c r="F41" s="329"/>
      <c r="G41" s="329"/>
      <c r="H41" s="329"/>
      <c r="I41" s="330">
        <f>SUM(I34:I40)</f>
        <v>0</v>
      </c>
      <c r="J41" s="331">
        <f>SUM(J34:J40)</f>
        <v>0</v>
      </c>
      <c r="Z41" s="266">
        <v>0.9</v>
      </c>
      <c r="AA41" s="250" t="e">
        <f t="shared" si="19"/>
        <v>#VALUE!</v>
      </c>
      <c r="AB41" s="250" t="e">
        <f t="shared" si="20"/>
        <v>#VALUE!</v>
      </c>
      <c r="AC41" s="250" t="e">
        <f t="shared" si="21"/>
        <v>#VALUE!</v>
      </c>
      <c r="AD41" s="250" t="e">
        <f t="shared" si="22"/>
        <v>#VALUE!</v>
      </c>
      <c r="AE41" s="250" t="e">
        <f t="shared" si="23"/>
        <v>#VALUE!</v>
      </c>
      <c r="AF41" s="250" t="e">
        <f t="shared" si="24"/>
        <v>#VALUE!</v>
      </c>
      <c r="AG41" s="263"/>
      <c r="AH41" s="112"/>
    </row>
    <row r="42" spans="1:34" ht="14.45" customHeight="1">
      <c r="A42" s="230"/>
      <c r="B42" s="231"/>
      <c r="C42" s="276" t="s">
        <v>654</v>
      </c>
      <c r="D42" s="680">
        <v>0</v>
      </c>
      <c r="E42" s="235">
        <v>0</v>
      </c>
      <c r="F42" s="322">
        <v>0</v>
      </c>
      <c r="G42" s="235">
        <v>0</v>
      </c>
      <c r="H42" s="235">
        <v>0</v>
      </c>
      <c r="I42" s="277" t="str">
        <f>IF(D42&gt;0,+H42*D42," ")</f>
        <v xml:space="preserve"> </v>
      </c>
      <c r="J42" s="278" t="str">
        <f t="shared" ref="J42:J48" si="25">IF(D42&gt;0,G42*D42," ")</f>
        <v xml:space="preserve"> </v>
      </c>
      <c r="X42" s="112"/>
      <c r="Y42" s="112"/>
      <c r="Z42" s="266">
        <v>0.8</v>
      </c>
      <c r="AA42" s="250" t="e">
        <f t="shared" si="19"/>
        <v>#VALUE!</v>
      </c>
      <c r="AB42" s="250" t="e">
        <f t="shared" si="20"/>
        <v>#VALUE!</v>
      </c>
      <c r="AC42" s="250" t="e">
        <f t="shared" si="21"/>
        <v>#VALUE!</v>
      </c>
      <c r="AD42" s="250" t="e">
        <f t="shared" si="22"/>
        <v>#VALUE!</v>
      </c>
      <c r="AE42" s="250" t="e">
        <f t="shared" si="23"/>
        <v>#VALUE!</v>
      </c>
      <c r="AF42" s="250" t="e">
        <f t="shared" si="24"/>
        <v>#VALUE!</v>
      </c>
      <c r="AG42" s="263"/>
      <c r="AH42" s="112"/>
    </row>
    <row r="43" spans="1:34" ht="14.45" customHeight="1">
      <c r="A43" s="259"/>
      <c r="B43" s="112"/>
      <c r="C43" s="260" t="s">
        <v>145</v>
      </c>
      <c r="D43" s="678">
        <v>0</v>
      </c>
      <c r="E43" s="238" t="str">
        <f>IF(D43=0," ",IF($B$42="TCAC",VLOOKUP($A$42,TCACrents,2,FALSE),IF($B$42="CalHFA",VLOOKUP($A$42,CalHFArents,2,FALSE),VLOOKUP($A$42,Otherrents,2,FALSE))))</f>
        <v xml:space="preserve"> </v>
      </c>
      <c r="F43" s="239" t="str">
        <f>IF(D43&gt;0,-Misc.!$X$49," ")</f>
        <v xml:space="preserve"> </v>
      </c>
      <c r="G43" s="238" t="str">
        <f t="shared" ref="G43:G48" si="26">IF(D43&gt;0,SUM(E43:F43)," ")</f>
        <v xml:space="preserve"> </v>
      </c>
      <c r="H43" s="233">
        <v>0</v>
      </c>
      <c r="I43" s="238" t="str">
        <f t="shared" ref="I43:I48" si="27">IF(D43&gt;0,+H43*D43," ")</f>
        <v xml:space="preserve"> </v>
      </c>
      <c r="J43" s="258" t="str">
        <f t="shared" si="25"/>
        <v xml:space="preserve"> </v>
      </c>
      <c r="X43" s="112"/>
      <c r="Y43" s="112"/>
      <c r="Z43" s="266">
        <v>0.7</v>
      </c>
      <c r="AA43" s="250" t="e">
        <f t="shared" si="19"/>
        <v>#VALUE!</v>
      </c>
      <c r="AB43" s="250" t="e">
        <f t="shared" si="20"/>
        <v>#VALUE!</v>
      </c>
      <c r="AC43" s="250" t="e">
        <f t="shared" si="21"/>
        <v>#VALUE!</v>
      </c>
      <c r="AD43" s="250" t="e">
        <f t="shared" si="22"/>
        <v>#VALUE!</v>
      </c>
      <c r="AE43" s="250" t="e">
        <f t="shared" si="23"/>
        <v>#VALUE!</v>
      </c>
      <c r="AF43" s="250" t="e">
        <f t="shared" si="24"/>
        <v>#VALUE!</v>
      </c>
      <c r="AG43" s="263"/>
      <c r="AH43" s="112"/>
    </row>
    <row r="44" spans="1:34" ht="14.45" customHeight="1">
      <c r="A44" s="571" t="s">
        <v>413</v>
      </c>
      <c r="B44" s="261"/>
      <c r="C44" s="260" t="s">
        <v>146</v>
      </c>
      <c r="D44" s="678">
        <v>0</v>
      </c>
      <c r="E44" s="238" t="str">
        <f>IF(D44=0," ",IF($B$42="TCAC",VLOOKUP($A$42,TCACrents,3,FALSE),IF($B$42="CalHFA",VLOOKUP($A$42,CalHFArents,3,FALSE),VLOOKUP($A$42,Otherrents,3,FALSE))))</f>
        <v xml:space="preserve"> </v>
      </c>
      <c r="F44" s="239" t="str">
        <f>IF(D44&gt;0,-Misc.!$AA$49," ")</f>
        <v xml:space="preserve"> </v>
      </c>
      <c r="G44" s="238" t="str">
        <f t="shared" si="26"/>
        <v xml:space="preserve"> </v>
      </c>
      <c r="H44" s="233">
        <v>0</v>
      </c>
      <c r="I44" s="238" t="str">
        <f t="shared" si="27"/>
        <v xml:space="preserve"> </v>
      </c>
      <c r="J44" s="258" t="str">
        <f t="shared" si="25"/>
        <v xml:space="preserve"> </v>
      </c>
      <c r="Y44" s="112"/>
      <c r="Z44" s="266">
        <v>0.6</v>
      </c>
      <c r="AA44" s="250" t="e">
        <f t="shared" si="19"/>
        <v>#VALUE!</v>
      </c>
      <c r="AB44" s="250" t="e">
        <f t="shared" si="20"/>
        <v>#VALUE!</v>
      </c>
      <c r="AC44" s="250" t="e">
        <f t="shared" si="21"/>
        <v>#VALUE!</v>
      </c>
      <c r="AD44" s="250" t="e">
        <f t="shared" si="22"/>
        <v>#VALUE!</v>
      </c>
      <c r="AE44" s="250" t="e">
        <f t="shared" si="23"/>
        <v>#VALUE!</v>
      </c>
      <c r="AF44" s="250" t="e">
        <f t="shared" si="24"/>
        <v>#VALUE!</v>
      </c>
      <c r="AG44" s="263"/>
      <c r="AH44" s="112"/>
    </row>
    <row r="45" spans="1:34" ht="14.45" customHeight="1">
      <c r="A45" s="571" t="s">
        <v>414</v>
      </c>
      <c r="B45" s="572" t="e">
        <f>+D49/D$110</f>
        <v>#DIV/0!</v>
      </c>
      <c r="C45" s="260" t="s">
        <v>147</v>
      </c>
      <c r="D45" s="678">
        <v>0</v>
      </c>
      <c r="E45" s="238" t="str">
        <f>IF(D45=0," ",IF($B$42="TCAC",VLOOKUP($A$42,TCACrents,4,FALSE),IF($B$42="CalHFA",VLOOKUP($A$42,CalHFArents,4,FALSE),VLOOKUP($A$42,Otherrents,4,FALSE))))</f>
        <v xml:space="preserve"> </v>
      </c>
      <c r="F45" s="239" t="str">
        <f>IF(D45&gt;0,-Misc.!$AD$49," ")</f>
        <v xml:space="preserve"> </v>
      </c>
      <c r="G45" s="238" t="str">
        <f t="shared" si="26"/>
        <v xml:space="preserve"> </v>
      </c>
      <c r="H45" s="233">
        <v>0</v>
      </c>
      <c r="I45" s="238" t="str">
        <f t="shared" si="27"/>
        <v xml:space="preserve"> </v>
      </c>
      <c r="J45" s="258" t="str">
        <f t="shared" si="25"/>
        <v xml:space="preserve"> </v>
      </c>
      <c r="Y45" s="112"/>
      <c r="Z45" s="266">
        <v>0.55000000000000004</v>
      </c>
      <c r="AA45" s="250" t="e">
        <f t="shared" si="19"/>
        <v>#VALUE!</v>
      </c>
      <c r="AB45" s="250" t="e">
        <f t="shared" si="20"/>
        <v>#VALUE!</v>
      </c>
      <c r="AC45" s="250" t="e">
        <f t="shared" si="21"/>
        <v>#VALUE!</v>
      </c>
      <c r="AD45" s="250" t="e">
        <f t="shared" si="22"/>
        <v>#VALUE!</v>
      </c>
      <c r="AE45" s="250" t="e">
        <f t="shared" si="23"/>
        <v>#VALUE!</v>
      </c>
      <c r="AF45" s="250" t="e">
        <f t="shared" si="24"/>
        <v>#VALUE!</v>
      </c>
      <c r="AG45" s="263"/>
      <c r="AH45" s="112"/>
    </row>
    <row r="46" spans="1:34" ht="14.45" customHeight="1">
      <c r="A46" s="264"/>
      <c r="B46" s="112"/>
      <c r="C46" s="260" t="s">
        <v>148</v>
      </c>
      <c r="D46" s="678">
        <v>0</v>
      </c>
      <c r="E46" s="238" t="str">
        <f>IF(D46=0," ",IF($B$42="TCAC",VLOOKUP($A$42,TCACrents,5,FALSE),IF($B$42="CalHFA",VLOOKUP($A$42,CalHFArents,5,FALSE),VLOOKUP($A$42,Otherrents,5,FALSE))))</f>
        <v xml:space="preserve"> </v>
      </c>
      <c r="F46" s="239" t="str">
        <f>IF(D46&gt;0,-Misc.!$AG$49," ")</f>
        <v xml:space="preserve"> </v>
      </c>
      <c r="G46" s="238" t="str">
        <f t="shared" si="26"/>
        <v xml:space="preserve"> </v>
      </c>
      <c r="H46" s="233">
        <v>0</v>
      </c>
      <c r="I46" s="238" t="str">
        <f t="shared" si="27"/>
        <v xml:space="preserve"> </v>
      </c>
      <c r="J46" s="258" t="str">
        <f t="shared" si="25"/>
        <v xml:space="preserve"> </v>
      </c>
      <c r="Y46" s="112"/>
      <c r="Z46" s="266">
        <v>0.5</v>
      </c>
      <c r="AA46" s="250" t="e">
        <f>TRUNC(+AA17/12*0.3)</f>
        <v>#VALUE!</v>
      </c>
      <c r="AB46" s="250" t="e">
        <f>TRUNC((+AA17+AB17)/2/12*0.3)</f>
        <v>#VALUE!</v>
      </c>
      <c r="AC46" s="250" t="e">
        <f>TRUNC(+AC17/12*0.3)</f>
        <v>#VALUE!</v>
      </c>
      <c r="AD46" s="250" t="e">
        <f>TRUNC((+AD17+AE17)/2/12*0.3)</f>
        <v>#VALUE!</v>
      </c>
      <c r="AE46" s="250" t="e">
        <f>TRUNC(+AF17/12*0.3)</f>
        <v>#VALUE!</v>
      </c>
      <c r="AF46" s="250" t="e">
        <f>TRUNC((+AG17+AH17)/2/12*0.3)</f>
        <v>#VALUE!</v>
      </c>
      <c r="AG46" s="263"/>
      <c r="AH46" s="112"/>
    </row>
    <row r="47" spans="1:34" ht="14.45" customHeight="1">
      <c r="A47" s="264"/>
      <c r="B47" s="112"/>
      <c r="C47" s="260" t="s">
        <v>149</v>
      </c>
      <c r="D47" s="678">
        <v>0</v>
      </c>
      <c r="E47" s="238" t="str">
        <f>IF(D47=0," ",IF($B$42="TCAC",VLOOKUP($A$42,TCACrents,6,FALSE),IF($B$42="CalHFA",VLOOKUP($A$42,CalHFArents,6,FALSE),VLOOKUP($A$42,Otherrents,6,FALSE))))</f>
        <v xml:space="preserve"> </v>
      </c>
      <c r="F47" s="239" t="str">
        <f>IF(D47&gt;0,-Misc.!$AJ$49," ")</f>
        <v xml:space="preserve"> </v>
      </c>
      <c r="G47" s="238" t="str">
        <f t="shared" si="26"/>
        <v xml:space="preserve"> </v>
      </c>
      <c r="H47" s="233">
        <v>0</v>
      </c>
      <c r="I47" s="238" t="str">
        <f t="shared" si="27"/>
        <v xml:space="preserve"> </v>
      </c>
      <c r="J47" s="258" t="str">
        <f t="shared" si="25"/>
        <v xml:space="preserve"> </v>
      </c>
      <c r="Y47" s="112"/>
      <c r="Z47" s="266">
        <v>0.45</v>
      </c>
      <c r="AA47" s="250" t="e">
        <f>TRUNC(+AA18/12*0.3)</f>
        <v>#VALUE!</v>
      </c>
      <c r="AB47" s="250" t="e">
        <f>TRUNC((+AA18+AB18)/2/12*0.3)</f>
        <v>#VALUE!</v>
      </c>
      <c r="AC47" s="250" t="e">
        <f>TRUNC(+AC18/12*0.3)</f>
        <v>#VALUE!</v>
      </c>
      <c r="AD47" s="250" t="e">
        <f>TRUNC((+AD18+AE18)/2/12*0.3)</f>
        <v>#VALUE!</v>
      </c>
      <c r="AE47" s="250" t="e">
        <f>TRUNC(+AF18/12*0.3)</f>
        <v>#VALUE!</v>
      </c>
      <c r="AF47" s="250" t="e">
        <f>TRUNC((+AG18+AH18)/2/12*0.3)</f>
        <v>#VALUE!</v>
      </c>
      <c r="AG47" s="263"/>
      <c r="AH47" s="112"/>
    </row>
    <row r="48" spans="1:34" ht="14.45" customHeight="1" thickBot="1">
      <c r="A48" s="264"/>
      <c r="B48" s="112"/>
      <c r="C48" s="268" t="s">
        <v>150</v>
      </c>
      <c r="D48" s="679">
        <v>0</v>
      </c>
      <c r="E48" s="240" t="str">
        <f>IF(D48=0," ",IF($B$42="TCAC",VLOOKUP($A$42,TCACrents,7,FALSE),IF($B$42="CalHFA",VLOOKUP($A$42,CalHFArents,7,FALSE),VLOOKUP($A$42,Otherrents,7,FALSE))))</f>
        <v xml:space="preserve"> </v>
      </c>
      <c r="F48" s="241" t="str">
        <f>IF(D48&gt;0,-Misc.!$AM$49," ")</f>
        <v xml:space="preserve"> </v>
      </c>
      <c r="G48" s="240" t="str">
        <f t="shared" si="26"/>
        <v xml:space="preserve"> </v>
      </c>
      <c r="H48" s="234">
        <v>0</v>
      </c>
      <c r="I48" s="240" t="str">
        <f t="shared" si="27"/>
        <v xml:space="preserve"> </v>
      </c>
      <c r="J48" s="269" t="str">
        <f t="shared" si="25"/>
        <v xml:space="preserve"> </v>
      </c>
      <c r="Y48" s="112"/>
      <c r="Z48" s="266">
        <v>0.4</v>
      </c>
      <c r="AA48" s="250" t="e">
        <f t="shared" ref="AA48:AA53" si="28">TRUNC(AA19/12*0.3)</f>
        <v>#VALUE!</v>
      </c>
      <c r="AB48" s="250" t="e">
        <f t="shared" ref="AB48:AB53" si="29">TRUNC((AA19+AB19)/2/12*0.3)</f>
        <v>#VALUE!</v>
      </c>
      <c r="AC48" s="250" t="e">
        <f t="shared" ref="AC48:AC53" si="30">TRUNC(AC19/12*0.3)</f>
        <v>#VALUE!</v>
      </c>
      <c r="AD48" s="250" t="e">
        <f t="shared" ref="AD48:AD53" si="31">TRUNC((AD19+AE19)/2/12*0.3)</f>
        <v>#VALUE!</v>
      </c>
      <c r="AE48" s="250" t="e">
        <f t="shared" ref="AE48:AE53" si="32">TRUNC(AF19/12*0.3)</f>
        <v>#VALUE!</v>
      </c>
      <c r="AF48" s="250" t="e">
        <f t="shared" ref="AF48:AF53" si="33">TRUNC((AG19+AH19)/2/12*0.3)</f>
        <v>#VALUE!</v>
      </c>
      <c r="AG48" s="263"/>
      <c r="AH48" s="112"/>
    </row>
    <row r="49" spans="1:33" ht="14.45" customHeight="1" thickBot="1">
      <c r="A49" s="273"/>
      <c r="B49" s="274"/>
      <c r="C49" s="274"/>
      <c r="D49" s="677">
        <f>SUM(D42:D48)</f>
        <v>0</v>
      </c>
      <c r="E49" s="275" t="s">
        <v>801</v>
      </c>
      <c r="F49" s="329"/>
      <c r="G49" s="329"/>
      <c r="H49" s="329"/>
      <c r="I49" s="330">
        <f>SUM(I42:I48)</f>
        <v>0</v>
      </c>
      <c r="J49" s="331">
        <f>SUM(J42:J48)</f>
        <v>0</v>
      </c>
      <c r="Y49" s="112"/>
      <c r="Z49" s="266">
        <v>0.35</v>
      </c>
      <c r="AA49" s="250" t="e">
        <f t="shared" si="28"/>
        <v>#VALUE!</v>
      </c>
      <c r="AB49" s="250" t="e">
        <f t="shared" si="29"/>
        <v>#VALUE!</v>
      </c>
      <c r="AC49" s="250" t="e">
        <f t="shared" si="30"/>
        <v>#VALUE!</v>
      </c>
      <c r="AD49" s="250" t="e">
        <f t="shared" si="31"/>
        <v>#VALUE!</v>
      </c>
      <c r="AE49" s="250" t="e">
        <f t="shared" si="32"/>
        <v>#VALUE!</v>
      </c>
      <c r="AF49" s="250" t="e">
        <f t="shared" si="33"/>
        <v>#VALUE!</v>
      </c>
      <c r="AG49" s="263"/>
    </row>
    <row r="50" spans="1:33" ht="14.45" customHeight="1">
      <c r="A50" s="230"/>
      <c r="B50" s="231"/>
      <c r="C50" s="276" t="s">
        <v>654</v>
      </c>
      <c r="D50" s="680">
        <v>0</v>
      </c>
      <c r="E50" s="235">
        <v>0</v>
      </c>
      <c r="F50" s="322">
        <v>0</v>
      </c>
      <c r="G50" s="235">
        <v>0</v>
      </c>
      <c r="H50" s="235">
        <v>0</v>
      </c>
      <c r="I50" s="277" t="str">
        <f>IF(D50&gt;0,+H50*D50," ")</f>
        <v xml:space="preserve"> </v>
      </c>
      <c r="J50" s="278" t="str">
        <f t="shared" ref="J50:J56" si="34">IF(D50&gt;0,G50*D50," ")</f>
        <v xml:space="preserve"> </v>
      </c>
      <c r="Y50" s="112"/>
      <c r="Z50" s="266">
        <v>0.3</v>
      </c>
      <c r="AA50" s="250" t="e">
        <f t="shared" si="28"/>
        <v>#VALUE!</v>
      </c>
      <c r="AB50" s="250" t="e">
        <f t="shared" si="29"/>
        <v>#VALUE!</v>
      </c>
      <c r="AC50" s="250" t="e">
        <f t="shared" si="30"/>
        <v>#VALUE!</v>
      </c>
      <c r="AD50" s="250" t="e">
        <f t="shared" si="31"/>
        <v>#VALUE!</v>
      </c>
      <c r="AE50" s="250" t="e">
        <f t="shared" si="32"/>
        <v>#VALUE!</v>
      </c>
      <c r="AF50" s="250" t="e">
        <f t="shared" si="33"/>
        <v>#VALUE!</v>
      </c>
      <c r="AG50" s="263"/>
    </row>
    <row r="51" spans="1:33" ht="14.45" customHeight="1">
      <c r="A51" s="259"/>
      <c r="B51" s="112"/>
      <c r="C51" s="260" t="s">
        <v>145</v>
      </c>
      <c r="D51" s="678">
        <v>0</v>
      </c>
      <c r="E51" s="238" t="str">
        <f>IF(D51=0," ",IF($B$50="TCAC",VLOOKUP($A$50,TCACrents,2,FALSE),IF($B$50="CalHFA",VLOOKUP($A$50,CalHFArents,2,FALSE),VLOOKUP($A$50,Otherrents,2,FALSE))))</f>
        <v xml:space="preserve"> </v>
      </c>
      <c r="F51" s="239" t="str">
        <f>IF(D51&gt;0,-Misc.!$X$49," ")</f>
        <v xml:space="preserve"> </v>
      </c>
      <c r="G51" s="238" t="str">
        <f t="shared" ref="G51:G56" si="35">IF(D51&gt;0,SUM(E51:F51)," ")</f>
        <v xml:space="preserve"> </v>
      </c>
      <c r="H51" s="233">
        <v>0</v>
      </c>
      <c r="I51" s="238" t="str">
        <f t="shared" ref="I51:I56" si="36">IF(D51&gt;0,+H51*D51," ")</f>
        <v xml:space="preserve"> </v>
      </c>
      <c r="J51" s="258" t="str">
        <f t="shared" si="34"/>
        <v xml:space="preserve"> </v>
      </c>
      <c r="Y51" s="112"/>
      <c r="Z51" s="266">
        <v>0.25</v>
      </c>
      <c r="AA51" s="250" t="e">
        <f t="shared" si="28"/>
        <v>#VALUE!</v>
      </c>
      <c r="AB51" s="250" t="e">
        <f t="shared" si="29"/>
        <v>#VALUE!</v>
      </c>
      <c r="AC51" s="250" t="e">
        <f t="shared" si="30"/>
        <v>#VALUE!</v>
      </c>
      <c r="AD51" s="250" t="e">
        <f t="shared" si="31"/>
        <v>#VALUE!</v>
      </c>
      <c r="AE51" s="250" t="e">
        <f t="shared" si="32"/>
        <v>#VALUE!</v>
      </c>
      <c r="AF51" s="250" t="e">
        <f t="shared" si="33"/>
        <v>#VALUE!</v>
      </c>
      <c r="AG51" s="263"/>
    </row>
    <row r="52" spans="1:33" ht="14.45" customHeight="1">
      <c r="A52" s="571" t="s">
        <v>413</v>
      </c>
      <c r="B52" s="261"/>
      <c r="C52" s="260" t="s">
        <v>146</v>
      </c>
      <c r="D52" s="678">
        <v>0</v>
      </c>
      <c r="E52" s="238" t="str">
        <f>IF(D52=0," ",IF($B$50="TCAC",VLOOKUP($A$50,TCACrents,3,FALSE),IF($B$50="CalHFA",VLOOKUP($A$50,CalHFArents,3,FALSE),VLOOKUP($A$50,Otherrents,3,FALSE))))</f>
        <v xml:space="preserve"> </v>
      </c>
      <c r="F52" s="239" t="str">
        <f>IF(D52&gt;0,-Misc.!$AA$49," ")</f>
        <v xml:space="preserve"> </v>
      </c>
      <c r="G52" s="238" t="str">
        <f t="shared" si="35"/>
        <v xml:space="preserve"> </v>
      </c>
      <c r="H52" s="233">
        <v>0</v>
      </c>
      <c r="I52" s="238" t="str">
        <f t="shared" si="36"/>
        <v xml:space="preserve"> </v>
      </c>
      <c r="J52" s="258" t="str">
        <f t="shared" si="34"/>
        <v xml:space="preserve"> </v>
      </c>
      <c r="Y52" s="112"/>
      <c r="Z52" s="266">
        <v>0.2</v>
      </c>
      <c r="AA52" s="250" t="e">
        <f t="shared" si="28"/>
        <v>#VALUE!</v>
      </c>
      <c r="AB52" s="250" t="e">
        <f t="shared" si="29"/>
        <v>#VALUE!</v>
      </c>
      <c r="AC52" s="250" t="e">
        <f t="shared" si="30"/>
        <v>#VALUE!</v>
      </c>
      <c r="AD52" s="250" t="e">
        <f t="shared" si="31"/>
        <v>#VALUE!</v>
      </c>
      <c r="AE52" s="250" t="e">
        <f t="shared" si="32"/>
        <v>#VALUE!</v>
      </c>
      <c r="AF52" s="250" t="e">
        <f t="shared" si="33"/>
        <v>#VALUE!</v>
      </c>
      <c r="AG52" s="263"/>
    </row>
    <row r="53" spans="1:33" ht="14.45" customHeight="1" thickBot="1">
      <c r="A53" s="571" t="s">
        <v>414</v>
      </c>
      <c r="B53" s="572" t="e">
        <f>+D57/D$110</f>
        <v>#DIV/0!</v>
      </c>
      <c r="C53" s="260" t="s">
        <v>147</v>
      </c>
      <c r="D53" s="678">
        <v>0</v>
      </c>
      <c r="E53" s="238" t="str">
        <f>IF(D53=0," ",IF($B$50="TCAC",VLOOKUP($A$50,TCACrents,4,FALSE),IF($B$50="CalHFA",VLOOKUP($A$50,CalHFArents,4,FALSE),VLOOKUP($A$50,Otherrents,4,FALSE))))</f>
        <v xml:space="preserve"> </v>
      </c>
      <c r="F53" s="239" t="str">
        <f>IF(D53&gt;0,-Misc.!$AD$49," ")</f>
        <v xml:space="preserve"> </v>
      </c>
      <c r="G53" s="238" t="str">
        <f t="shared" si="35"/>
        <v xml:space="preserve"> </v>
      </c>
      <c r="H53" s="233">
        <v>0</v>
      </c>
      <c r="I53" s="238" t="str">
        <f t="shared" si="36"/>
        <v xml:space="preserve"> </v>
      </c>
      <c r="J53" s="258" t="str">
        <f t="shared" si="34"/>
        <v xml:space="preserve"> </v>
      </c>
      <c r="Y53" s="112"/>
      <c r="Z53" s="270">
        <v>0.15</v>
      </c>
      <c r="AA53" s="255" t="e">
        <f t="shared" si="28"/>
        <v>#VALUE!</v>
      </c>
      <c r="AB53" s="255" t="e">
        <f t="shared" si="29"/>
        <v>#VALUE!</v>
      </c>
      <c r="AC53" s="255" t="e">
        <f t="shared" si="30"/>
        <v>#VALUE!</v>
      </c>
      <c r="AD53" s="255" t="e">
        <f t="shared" si="31"/>
        <v>#VALUE!</v>
      </c>
      <c r="AE53" s="255" t="e">
        <f t="shared" si="32"/>
        <v>#VALUE!</v>
      </c>
      <c r="AF53" s="255" t="e">
        <f t="shared" si="33"/>
        <v>#VALUE!</v>
      </c>
      <c r="AG53" s="20"/>
    </row>
    <row r="54" spans="1:33" ht="14.45" customHeight="1">
      <c r="A54" s="264"/>
      <c r="B54" s="112"/>
      <c r="C54" s="260" t="s">
        <v>148</v>
      </c>
      <c r="D54" s="678">
        <v>0</v>
      </c>
      <c r="E54" s="238" t="str">
        <f>IF(D54=0," ",IF($B$50="TCAC",VLOOKUP($A$50,TCACrents,5,FALSE),IF($B$50="CalHFA",VLOOKUP($A$50,CalHFArents,5,FALSE),VLOOKUP($A$50,Otherrents,5,FALSE))))</f>
        <v xml:space="preserve"> </v>
      </c>
      <c r="F54" s="239" t="str">
        <f>IF(D54&gt;0,-Misc.!$AG$49," ")</f>
        <v xml:space="preserve"> </v>
      </c>
      <c r="G54" s="238" t="str">
        <f t="shared" si="35"/>
        <v xml:space="preserve"> </v>
      </c>
      <c r="H54" s="233">
        <v>0</v>
      </c>
      <c r="I54" s="238" t="str">
        <f t="shared" si="36"/>
        <v xml:space="preserve"> </v>
      </c>
      <c r="J54" s="258" t="str">
        <f t="shared" si="34"/>
        <v xml:space="preserve"> </v>
      </c>
      <c r="Y54" s="112"/>
    </row>
    <row r="55" spans="1:33" ht="14.45" customHeight="1">
      <c r="A55" s="264"/>
      <c r="B55" s="112"/>
      <c r="C55" s="260" t="s">
        <v>149</v>
      </c>
      <c r="D55" s="678">
        <v>0</v>
      </c>
      <c r="E55" s="238" t="str">
        <f>IF(D55=0," ",IF($B$50="TCAC",VLOOKUP($A$50,TCACrents,6,FALSE),IF($B$50="CalHFA",VLOOKUP($A$50,CalHFArents,6,FALSE),VLOOKUP($A$50,Otherrents,6,FALSE))))</f>
        <v xml:space="preserve"> </v>
      </c>
      <c r="F55" s="239" t="str">
        <f>IF(D55&gt;0,-Misc.!$AJ$49," ")</f>
        <v xml:space="preserve"> </v>
      </c>
      <c r="G55" s="238" t="str">
        <f t="shared" si="35"/>
        <v xml:space="preserve"> </v>
      </c>
      <c r="H55" s="233">
        <v>0</v>
      </c>
      <c r="I55" s="238" t="str">
        <f t="shared" si="36"/>
        <v xml:space="preserve"> </v>
      </c>
      <c r="J55" s="258" t="str">
        <f t="shared" si="34"/>
        <v xml:space="preserve"> </v>
      </c>
      <c r="X55" s="112"/>
      <c r="Y55" s="112"/>
      <c r="Z55" s="112"/>
    </row>
    <row r="56" spans="1:33" ht="14.45" customHeight="1" thickBot="1">
      <c r="A56" s="264"/>
      <c r="B56" s="112"/>
      <c r="C56" s="268" t="s">
        <v>150</v>
      </c>
      <c r="D56" s="679">
        <v>0</v>
      </c>
      <c r="E56" s="240" t="str">
        <f>IF(D56=0," ",IF($B$50="TCAC",VLOOKUP($A$50,TCACrents,7,FALSE),IF($B$50="CalHFA",VLOOKUP($A$50,CalHFArents,7,FALSE),VLOOKUP($A$50,Otherrents,7,FALSE))))</f>
        <v xml:space="preserve"> </v>
      </c>
      <c r="F56" s="241" t="str">
        <f>IF(D56&gt;0,-Misc.!$AM$49," ")</f>
        <v xml:space="preserve"> </v>
      </c>
      <c r="G56" s="240" t="str">
        <f t="shared" si="35"/>
        <v xml:space="preserve"> </v>
      </c>
      <c r="H56" s="234">
        <v>0</v>
      </c>
      <c r="I56" s="240" t="str">
        <f t="shared" si="36"/>
        <v xml:space="preserve"> </v>
      </c>
      <c r="J56" s="269" t="str">
        <f t="shared" si="34"/>
        <v xml:space="preserve"> </v>
      </c>
      <c r="X56" s="112"/>
      <c r="Y56" s="112"/>
      <c r="Z56" s="112"/>
    </row>
    <row r="57" spans="1:33" ht="14.45" customHeight="1" thickBot="1">
      <c r="A57" s="273"/>
      <c r="B57" s="274"/>
      <c r="C57" s="274"/>
      <c r="D57" s="677">
        <f>SUM(D50:D56)</f>
        <v>0</v>
      </c>
      <c r="E57" s="275" t="s">
        <v>801</v>
      </c>
      <c r="F57" s="329"/>
      <c r="G57" s="329"/>
      <c r="H57" s="329"/>
      <c r="I57" s="330">
        <f>SUM(I50:I56)</f>
        <v>0</v>
      </c>
      <c r="J57" s="331">
        <f>SUM(J50:J56)</f>
        <v>0</v>
      </c>
      <c r="X57" s="112"/>
      <c r="Y57" s="112"/>
      <c r="Z57" s="112"/>
    </row>
    <row r="58" spans="1:33" ht="14.45" customHeight="1">
      <c r="A58" s="1921" t="s">
        <v>229</v>
      </c>
      <c r="B58" s="1924" t="s">
        <v>329</v>
      </c>
      <c r="C58" s="1924" t="s">
        <v>179</v>
      </c>
      <c r="D58" s="1964" t="s">
        <v>892</v>
      </c>
      <c r="E58" s="1924" t="s">
        <v>197</v>
      </c>
      <c r="F58" s="1924" t="s">
        <v>144</v>
      </c>
      <c r="G58" s="1924" t="s">
        <v>795</v>
      </c>
      <c r="H58" s="1924" t="s">
        <v>796</v>
      </c>
      <c r="I58" s="1971" t="s">
        <v>273</v>
      </c>
      <c r="J58" s="1974" t="s">
        <v>30</v>
      </c>
      <c r="X58" s="112"/>
      <c r="Y58" s="112"/>
      <c r="Z58" s="112"/>
    </row>
    <row r="59" spans="1:33" ht="14.45" customHeight="1">
      <c r="A59" s="1922"/>
      <c r="B59" s="1925"/>
      <c r="C59" s="1925"/>
      <c r="D59" s="1965"/>
      <c r="E59" s="1925"/>
      <c r="F59" s="1925"/>
      <c r="G59" s="1925"/>
      <c r="H59" s="1925"/>
      <c r="I59" s="1972"/>
      <c r="J59" s="1975"/>
      <c r="X59" s="112"/>
      <c r="Y59" s="112"/>
      <c r="Z59" s="112"/>
    </row>
    <row r="60" spans="1:33" ht="14.45" customHeight="1">
      <c r="A60" s="1922"/>
      <c r="B60" s="1925"/>
      <c r="C60" s="1925"/>
      <c r="D60" s="1965"/>
      <c r="E60" s="1925"/>
      <c r="F60" s="1925"/>
      <c r="G60" s="1925"/>
      <c r="H60" s="1925"/>
      <c r="I60" s="1972"/>
      <c r="J60" s="1975"/>
      <c r="X60" s="112"/>
      <c r="Y60" s="112"/>
      <c r="Z60" s="112"/>
    </row>
    <row r="61" spans="1:33" ht="14.45" customHeight="1">
      <c r="A61" s="1923"/>
      <c r="B61" s="1926"/>
      <c r="C61" s="1926"/>
      <c r="D61" s="1966"/>
      <c r="E61" s="1926"/>
      <c r="F61" s="1926"/>
      <c r="G61" s="1926"/>
      <c r="H61" s="1926"/>
      <c r="I61" s="1973"/>
      <c r="J61" s="1976"/>
      <c r="X61" s="112"/>
      <c r="Y61" s="112"/>
      <c r="Z61" s="112"/>
    </row>
    <row r="62" spans="1:33" ht="14.45" customHeight="1">
      <c r="A62" s="230"/>
      <c r="B62" s="231"/>
      <c r="C62" s="257" t="s">
        <v>654</v>
      </c>
      <c r="D62" s="678">
        <v>0</v>
      </c>
      <c r="E62" s="233">
        <v>0</v>
      </c>
      <c r="F62" s="323">
        <v>0</v>
      </c>
      <c r="G62" s="233">
        <v>0</v>
      </c>
      <c r="H62" s="233">
        <v>0</v>
      </c>
      <c r="I62" s="238" t="str">
        <f>IF(D62&gt;0,+H62*D62," ")</f>
        <v xml:space="preserve"> </v>
      </c>
      <c r="J62" s="258" t="str">
        <f t="shared" ref="J62:J68" si="37">IF(D62&gt;0,G62*D62," ")</f>
        <v xml:space="preserve"> </v>
      </c>
      <c r="X62" s="112"/>
      <c r="Y62" s="112"/>
      <c r="Z62" s="112"/>
    </row>
    <row r="63" spans="1:33" ht="14.45" customHeight="1">
      <c r="A63" s="259"/>
      <c r="B63" s="112"/>
      <c r="C63" s="260" t="s">
        <v>145</v>
      </c>
      <c r="D63" s="678">
        <v>0</v>
      </c>
      <c r="E63" s="238" t="str">
        <f>IF(D63=0," ",IF($B$62="TCAC",VLOOKUP($A$62,TCACrents,2,FALSE),IF($B$62="CalHFA",VLOOKUP($A$62,CalHFArents,2,FALSE),VLOOKUP($A$62,Otherrents,2,FALSE))))</f>
        <v xml:space="preserve"> </v>
      </c>
      <c r="F63" s="239" t="str">
        <f>IF(D63&gt;0,-Misc.!$X$49," ")</f>
        <v xml:space="preserve"> </v>
      </c>
      <c r="G63" s="238" t="str">
        <f t="shared" ref="G63:G68" si="38">IF(D63&gt;0,SUM(E63:F63)," ")</f>
        <v xml:space="preserve"> </v>
      </c>
      <c r="H63" s="233">
        <v>0</v>
      </c>
      <c r="I63" s="238" t="str">
        <f t="shared" ref="I63:I68" si="39">IF(D63&gt;0,+H63*D63," ")</f>
        <v xml:space="preserve"> </v>
      </c>
      <c r="J63" s="258" t="str">
        <f t="shared" si="37"/>
        <v xml:space="preserve"> </v>
      </c>
      <c r="X63" s="112"/>
      <c r="Y63" s="112"/>
      <c r="Z63" s="112"/>
    </row>
    <row r="64" spans="1:33" ht="14.45" customHeight="1">
      <c r="A64" s="571" t="s">
        <v>413</v>
      </c>
      <c r="B64" s="261"/>
      <c r="C64" s="260" t="s">
        <v>146</v>
      </c>
      <c r="D64" s="678">
        <v>0</v>
      </c>
      <c r="E64" s="238" t="str">
        <f>IF(D64=0," ",IF($B$62="TCAC",VLOOKUP($A$62,TCACrents,3,FALSE),IF($B$62="CalHFA",VLOOKUP($A$62,CalHFArents,3,FALSE),VLOOKUP($A$62,Otherrents,3,FALSE))))</f>
        <v xml:space="preserve"> </v>
      </c>
      <c r="F64" s="239" t="str">
        <f>IF(D64&gt;0,-Misc.!$AA$49," ")</f>
        <v xml:space="preserve"> </v>
      </c>
      <c r="G64" s="238" t="str">
        <f t="shared" si="38"/>
        <v xml:space="preserve"> </v>
      </c>
      <c r="H64" s="233">
        <v>0</v>
      </c>
      <c r="I64" s="238" t="str">
        <f t="shared" si="39"/>
        <v xml:space="preserve"> </v>
      </c>
      <c r="J64" s="258" t="str">
        <f t="shared" si="37"/>
        <v xml:space="preserve"> </v>
      </c>
      <c r="X64" s="112"/>
      <c r="Y64" s="112"/>
      <c r="Z64" s="112"/>
    </row>
    <row r="65" spans="1:26" ht="14.45" customHeight="1">
      <c r="A65" s="571" t="s">
        <v>414</v>
      </c>
      <c r="B65" s="572" t="e">
        <f>+D69/D$110</f>
        <v>#DIV/0!</v>
      </c>
      <c r="C65" s="260" t="s">
        <v>147</v>
      </c>
      <c r="D65" s="678">
        <v>0</v>
      </c>
      <c r="E65" s="238" t="str">
        <f>IF(D65=0," ",IF($B$62="TCAC",VLOOKUP($A$62,TCACrents,4,FALSE),IF($B$62="CalHFA",VLOOKUP($A$62,CalHFArents,4,FALSE),VLOOKUP($A$62,Otherrents,4,FALSE))))</f>
        <v xml:space="preserve"> </v>
      </c>
      <c r="F65" s="239" t="str">
        <f>IF(D65&gt;0,-Misc.!$AD$49," ")</f>
        <v xml:space="preserve"> </v>
      </c>
      <c r="G65" s="238" t="str">
        <f t="shared" si="38"/>
        <v xml:space="preserve"> </v>
      </c>
      <c r="H65" s="233">
        <v>0</v>
      </c>
      <c r="I65" s="238" t="str">
        <f t="shared" si="39"/>
        <v xml:space="preserve"> </v>
      </c>
      <c r="J65" s="258" t="str">
        <f t="shared" si="37"/>
        <v xml:space="preserve"> </v>
      </c>
      <c r="X65" s="112"/>
      <c r="Y65" s="112"/>
      <c r="Z65" s="112"/>
    </row>
    <row r="66" spans="1:26" ht="14.45" customHeight="1">
      <c r="A66" s="264"/>
      <c r="B66" s="112"/>
      <c r="C66" s="260" t="s">
        <v>148</v>
      </c>
      <c r="D66" s="678">
        <v>0</v>
      </c>
      <c r="E66" s="238" t="str">
        <f>IF(D66=0," ",IF($B$62="TCAC",VLOOKUP($A$62,TCACrents,5,FALSE),IF($B$62="CalHFA",VLOOKUP($A$62,CalHFArents,5,FALSE),VLOOKUP($A$62,Otherrents,5,FALSE))))</f>
        <v xml:space="preserve"> </v>
      </c>
      <c r="F66" s="239" t="str">
        <f>IF(D66&gt;0,-Misc.!$AG$49," ")</f>
        <v xml:space="preserve"> </v>
      </c>
      <c r="G66" s="238" t="str">
        <f t="shared" si="38"/>
        <v xml:space="preserve"> </v>
      </c>
      <c r="H66" s="233">
        <v>0</v>
      </c>
      <c r="I66" s="238" t="str">
        <f t="shared" si="39"/>
        <v xml:space="preserve"> </v>
      </c>
      <c r="J66" s="258" t="str">
        <f t="shared" si="37"/>
        <v xml:space="preserve"> </v>
      </c>
      <c r="X66" s="112"/>
      <c r="Y66" s="112"/>
      <c r="Z66" s="112"/>
    </row>
    <row r="67" spans="1:26" ht="14.45" customHeight="1">
      <c r="A67" s="264"/>
      <c r="B67" s="112"/>
      <c r="C67" s="260" t="s">
        <v>149</v>
      </c>
      <c r="D67" s="678">
        <v>0</v>
      </c>
      <c r="E67" s="238" t="str">
        <f>IF(D67=0," ",IF($B$62="TCAC",VLOOKUP($A$62,TCACrents,6,FALSE),IF($B$62="CalHFA",VLOOKUP($A$62,CalHFArents,6,FALSE),VLOOKUP($A$62,Otherrents,6,FALSE))))</f>
        <v xml:space="preserve"> </v>
      </c>
      <c r="F67" s="239" t="str">
        <f>IF(D67&gt;0,-Misc.!$AJ$49," ")</f>
        <v xml:space="preserve"> </v>
      </c>
      <c r="G67" s="238" t="str">
        <f t="shared" si="38"/>
        <v xml:space="preserve"> </v>
      </c>
      <c r="H67" s="233">
        <v>0</v>
      </c>
      <c r="I67" s="238" t="str">
        <f t="shared" si="39"/>
        <v xml:space="preserve"> </v>
      </c>
      <c r="J67" s="258" t="str">
        <f t="shared" si="37"/>
        <v xml:space="preserve"> </v>
      </c>
      <c r="X67" s="112"/>
      <c r="Y67" s="112"/>
      <c r="Z67" s="112"/>
    </row>
    <row r="68" spans="1:26" ht="14.45" customHeight="1" thickBot="1">
      <c r="A68" s="264"/>
      <c r="B68" s="112"/>
      <c r="C68" s="268" t="s">
        <v>150</v>
      </c>
      <c r="D68" s="679">
        <v>0</v>
      </c>
      <c r="E68" s="240" t="str">
        <f>IF(D68=0," ",IF($B$62="TCAC",VLOOKUP($A$62,TCACrents,7,FALSE),IF($B$62="CalHFA",VLOOKUP($A$62,CalHFArents,7,FALSE),VLOOKUP($A$62,Otherrents,7,FALSE))))</f>
        <v xml:space="preserve"> </v>
      </c>
      <c r="F68" s="241" t="str">
        <f>IF(D68&gt;0,-Misc.!$AM$49," ")</f>
        <v xml:space="preserve"> </v>
      </c>
      <c r="G68" s="240" t="str">
        <f t="shared" si="38"/>
        <v xml:space="preserve"> </v>
      </c>
      <c r="H68" s="234">
        <v>0</v>
      </c>
      <c r="I68" s="240" t="str">
        <f t="shared" si="39"/>
        <v xml:space="preserve"> </v>
      </c>
      <c r="J68" s="269" t="str">
        <f t="shared" si="37"/>
        <v xml:space="preserve"> </v>
      </c>
      <c r="X68" s="112"/>
      <c r="Y68" s="112"/>
      <c r="Z68" s="112"/>
    </row>
    <row r="69" spans="1:26" ht="14.45" customHeight="1" thickBot="1">
      <c r="A69" s="273"/>
      <c r="B69" s="274"/>
      <c r="C69" s="274"/>
      <c r="D69" s="677">
        <f>SUM(D62:D68)</f>
        <v>0</v>
      </c>
      <c r="E69" s="275" t="s">
        <v>801</v>
      </c>
      <c r="F69" s="329"/>
      <c r="G69" s="329"/>
      <c r="H69" s="329"/>
      <c r="I69" s="330">
        <f>SUM(I62:I68)</f>
        <v>0</v>
      </c>
      <c r="J69" s="331">
        <f>SUM(J62:J68)</f>
        <v>0</v>
      </c>
      <c r="X69" s="112"/>
      <c r="Y69" s="112"/>
      <c r="Z69" s="112"/>
    </row>
    <row r="70" spans="1:26" ht="14.45" customHeight="1">
      <c r="A70" s="230"/>
      <c r="B70" s="231"/>
      <c r="C70" s="276" t="s">
        <v>654</v>
      </c>
      <c r="D70" s="680">
        <v>0</v>
      </c>
      <c r="E70" s="235">
        <v>0</v>
      </c>
      <c r="F70" s="322">
        <v>0</v>
      </c>
      <c r="G70" s="235">
        <v>0</v>
      </c>
      <c r="H70" s="235">
        <v>0</v>
      </c>
      <c r="I70" s="277" t="str">
        <f>IF(D70&gt;0,+H70*D70," ")</f>
        <v xml:space="preserve"> </v>
      </c>
      <c r="J70" s="278" t="str">
        <f t="shared" ref="J70:J76" si="40">IF(D70&gt;0,G70*D70," ")</f>
        <v xml:space="preserve"> </v>
      </c>
      <c r="X70" s="285"/>
      <c r="Y70" s="112"/>
      <c r="Z70" s="112"/>
    </row>
    <row r="71" spans="1:26" ht="14.45" customHeight="1">
      <c r="A71" s="259"/>
      <c r="B71" s="286"/>
      <c r="C71" s="260" t="s">
        <v>145</v>
      </c>
      <c r="D71" s="678">
        <v>0</v>
      </c>
      <c r="E71" s="238" t="str">
        <f>IF(D71=0," ",IF($B$70="TCAC",VLOOKUP($A$70,TCACrents,2,FALSE),IF($B$70="CalHFA",VLOOKUP($A$70,CalHFArents,2,FALSE),VLOOKUP($A$70,Otherrents,2,FALSE))))</f>
        <v xml:space="preserve"> </v>
      </c>
      <c r="F71" s="239" t="str">
        <f>IF(D71&gt;0,-Misc.!$X$49," ")</f>
        <v xml:space="preserve"> </v>
      </c>
      <c r="G71" s="238" t="str">
        <f t="shared" ref="G71:G76" si="41">IF(D71&gt;0,SUM(E71:F71)," ")</f>
        <v xml:space="preserve"> </v>
      </c>
      <c r="H71" s="233">
        <v>0</v>
      </c>
      <c r="I71" s="238" t="str">
        <f t="shared" ref="I71:I76" si="42">IF(D71&gt;0,+H71*D71," ")</f>
        <v xml:space="preserve"> </v>
      </c>
      <c r="J71" s="258" t="str">
        <f t="shared" si="40"/>
        <v xml:space="preserve"> </v>
      </c>
      <c r="X71" s="285"/>
      <c r="Y71" s="112"/>
      <c r="Z71" s="112"/>
    </row>
    <row r="72" spans="1:26" ht="14.45" customHeight="1">
      <c r="A72" s="571" t="s">
        <v>413</v>
      </c>
      <c r="B72" s="287"/>
      <c r="C72" s="260" t="s">
        <v>146</v>
      </c>
      <c r="D72" s="678">
        <v>0</v>
      </c>
      <c r="E72" s="238" t="str">
        <f>IF(D72=0," ",IF($B$70="TCAC",VLOOKUP($A$70,TCACrents,3,FALSE),IF($B$70="CalHFA",VLOOKUP($A$70,CalHFArents,3,FALSE),VLOOKUP($A$70,Otherrents,3,FALSE))))</f>
        <v xml:space="preserve"> </v>
      </c>
      <c r="F72" s="239" t="str">
        <f>IF(D72&gt;0,-Misc.!$AA$49," ")</f>
        <v xml:space="preserve"> </v>
      </c>
      <c r="G72" s="238" t="str">
        <f t="shared" si="41"/>
        <v xml:space="preserve"> </v>
      </c>
      <c r="H72" s="233">
        <v>0</v>
      </c>
      <c r="I72" s="238" t="str">
        <f t="shared" si="42"/>
        <v xml:space="preserve"> </v>
      </c>
      <c r="J72" s="258" t="str">
        <f t="shared" si="40"/>
        <v xml:space="preserve"> </v>
      </c>
      <c r="X72" s="285"/>
      <c r="Y72" s="112"/>
      <c r="Z72" s="112"/>
    </row>
    <row r="73" spans="1:26" ht="14.45" customHeight="1">
      <c r="A73" s="571" t="s">
        <v>414</v>
      </c>
      <c r="B73" s="573" t="e">
        <f>+D77/D$110</f>
        <v>#DIV/0!</v>
      </c>
      <c r="C73" s="260" t="s">
        <v>147</v>
      </c>
      <c r="D73" s="678">
        <v>0</v>
      </c>
      <c r="E73" s="238" t="str">
        <f>IF(D73=0," ",IF($B$70="TCAC",VLOOKUP($A$70,TCACrents,4,FALSE),IF($B$70="CalHFA",VLOOKUP($A$70,CalHFArents,4,FALSE),VLOOKUP($A$70,Otherrents,4,FALSE))))</f>
        <v xml:space="preserve"> </v>
      </c>
      <c r="F73" s="239" t="str">
        <f>IF(D73&gt;0,-Misc.!$AD$49," ")</f>
        <v xml:space="preserve"> </v>
      </c>
      <c r="G73" s="238" t="str">
        <f t="shared" si="41"/>
        <v xml:space="preserve"> </v>
      </c>
      <c r="H73" s="233">
        <v>0</v>
      </c>
      <c r="I73" s="238" t="str">
        <f t="shared" si="42"/>
        <v xml:space="preserve"> </v>
      </c>
      <c r="J73" s="258" t="str">
        <f t="shared" si="40"/>
        <v xml:space="preserve"> </v>
      </c>
      <c r="X73" s="285"/>
      <c r="Y73" s="112"/>
      <c r="Z73" s="112"/>
    </row>
    <row r="74" spans="1:26" ht="14.45" customHeight="1">
      <c r="A74" s="264"/>
      <c r="B74" s="286"/>
      <c r="C74" s="260" t="s">
        <v>148</v>
      </c>
      <c r="D74" s="678">
        <v>0</v>
      </c>
      <c r="E74" s="238" t="str">
        <f>IF(D74=0," ",IF($B$70="TCAC",VLOOKUP($A$70,TCACrents,5,FALSE),IF($B$70="CalHFA",VLOOKUP($A$70,CalHFArents,5,FALSE),VLOOKUP($A$70,Otherrents,5,FALSE))))</f>
        <v xml:space="preserve"> </v>
      </c>
      <c r="F74" s="239" t="str">
        <f>IF(D74&gt;0,-Misc.!$AG$49," ")</f>
        <v xml:space="preserve"> </v>
      </c>
      <c r="G74" s="238" t="str">
        <f t="shared" si="41"/>
        <v xml:space="preserve"> </v>
      </c>
      <c r="H74" s="233">
        <v>0</v>
      </c>
      <c r="I74" s="238" t="str">
        <f t="shared" si="42"/>
        <v xml:space="preserve"> </v>
      </c>
      <c r="J74" s="258" t="str">
        <f t="shared" si="40"/>
        <v xml:space="preserve"> </v>
      </c>
      <c r="X74" s="285"/>
      <c r="Y74" s="112"/>
      <c r="Z74" s="112"/>
    </row>
    <row r="75" spans="1:26" ht="14.45" customHeight="1">
      <c r="A75" s="264"/>
      <c r="B75" s="286"/>
      <c r="C75" s="260" t="s">
        <v>149</v>
      </c>
      <c r="D75" s="678">
        <v>0</v>
      </c>
      <c r="E75" s="238" t="str">
        <f>IF(D75=0," ",IF($B$70="TCAC",VLOOKUP($A$70,TCACrents,6,FALSE),IF($B$70="CalHFA",VLOOKUP($A$70,CalHFArents,6,FALSE),VLOOKUP($A$70,Otherrents,6,FALSE))))</f>
        <v xml:space="preserve"> </v>
      </c>
      <c r="F75" s="239" t="str">
        <f>IF(D75&gt;0,-Misc.!$AJ$49," ")</f>
        <v xml:space="preserve"> </v>
      </c>
      <c r="G75" s="238" t="str">
        <f t="shared" si="41"/>
        <v xml:space="preserve"> </v>
      </c>
      <c r="H75" s="233">
        <v>0</v>
      </c>
      <c r="I75" s="238" t="str">
        <f t="shared" si="42"/>
        <v xml:space="preserve"> </v>
      </c>
      <c r="J75" s="258" t="str">
        <f t="shared" si="40"/>
        <v xml:space="preserve"> </v>
      </c>
      <c r="X75" s="285"/>
      <c r="Y75" s="112"/>
      <c r="Z75" s="112"/>
    </row>
    <row r="76" spans="1:26" ht="14.45" customHeight="1" thickBot="1">
      <c r="A76" s="264"/>
      <c r="B76" s="286"/>
      <c r="C76" s="268" t="s">
        <v>150</v>
      </c>
      <c r="D76" s="679">
        <v>0</v>
      </c>
      <c r="E76" s="240" t="str">
        <f>IF(D76=0," ",IF($B$70="TCAC",VLOOKUP($A$70,TCACrents,7,FALSE),IF($B$70="CalHFA",VLOOKUP($A$70,CalHFArents,7,FALSE),VLOOKUP($A$70,Otherrents,7,FALSE))))</f>
        <v xml:space="preserve"> </v>
      </c>
      <c r="F76" s="241" t="str">
        <f>IF(D76&gt;0,-Misc.!$AM$49," ")</f>
        <v xml:space="preserve"> </v>
      </c>
      <c r="G76" s="240" t="str">
        <f t="shared" si="41"/>
        <v xml:space="preserve"> </v>
      </c>
      <c r="H76" s="234">
        <v>0</v>
      </c>
      <c r="I76" s="240" t="str">
        <f t="shared" si="42"/>
        <v xml:space="preserve"> </v>
      </c>
      <c r="J76" s="269" t="str">
        <f t="shared" si="40"/>
        <v xml:space="preserve"> </v>
      </c>
      <c r="X76" s="112"/>
      <c r="Y76" s="112"/>
      <c r="Z76" s="112"/>
    </row>
    <row r="77" spans="1:26" ht="14.45" customHeight="1" thickBot="1">
      <c r="A77" s="273"/>
      <c r="B77" s="274"/>
      <c r="C77" s="274"/>
      <c r="D77" s="677">
        <f>SUM(D70:D76)</f>
        <v>0</v>
      </c>
      <c r="E77" s="275" t="s">
        <v>801</v>
      </c>
      <c r="F77" s="329"/>
      <c r="G77" s="329"/>
      <c r="H77" s="329"/>
      <c r="I77" s="330">
        <f>SUM(I70:I76)</f>
        <v>0</v>
      </c>
      <c r="J77" s="331">
        <f>SUM(J70:J76)</f>
        <v>0</v>
      </c>
      <c r="X77" s="112"/>
      <c r="Y77" s="112"/>
      <c r="Z77" s="112"/>
    </row>
    <row r="78" spans="1:26" ht="14.45" customHeight="1">
      <c r="A78" s="230"/>
      <c r="B78" s="231"/>
      <c r="C78" s="276" t="s">
        <v>654</v>
      </c>
      <c r="D78" s="680">
        <v>0</v>
      </c>
      <c r="E78" s="235">
        <v>0</v>
      </c>
      <c r="F78" s="322">
        <v>0</v>
      </c>
      <c r="G78" s="235">
        <v>0</v>
      </c>
      <c r="H78" s="235">
        <v>0</v>
      </c>
      <c r="I78" s="277" t="str">
        <f>IF(D78&gt;0,+H78*D78," ")</f>
        <v xml:space="preserve"> </v>
      </c>
      <c r="J78" s="278" t="str">
        <f t="shared" ref="J78:J84" si="43">IF(D78&gt;0,G78*D78," ")</f>
        <v xml:space="preserve"> </v>
      </c>
      <c r="X78" s="112"/>
      <c r="Y78" s="112"/>
      <c r="Z78" s="112"/>
    </row>
    <row r="79" spans="1:26" ht="14.45" customHeight="1">
      <c r="A79" s="259"/>
      <c r="B79" s="286"/>
      <c r="C79" s="260" t="s">
        <v>145</v>
      </c>
      <c r="D79" s="678">
        <v>0</v>
      </c>
      <c r="E79" s="238" t="str">
        <f>IF(D79=0," ",IF($B$78="TCAC",VLOOKUP($A$78,TCACrents,2,FALSE),IF($B$78="CalHFA",VLOOKUP($A$78,CalHFArents,2,FALSE),VLOOKUP($A$78,Otherrents,2,FALSE))))</f>
        <v xml:space="preserve"> </v>
      </c>
      <c r="F79" s="239" t="str">
        <f>IF(D79&gt;0,-Misc.!$X$49," ")</f>
        <v xml:space="preserve"> </v>
      </c>
      <c r="G79" s="238" t="str">
        <f t="shared" ref="G79:G84" si="44">IF(D79&gt;0,SUM(E79:F79)," ")</f>
        <v xml:space="preserve"> </v>
      </c>
      <c r="H79" s="233">
        <v>0</v>
      </c>
      <c r="I79" s="238" t="str">
        <f t="shared" ref="I79:I84" si="45">IF(D79&gt;0,+H79*D79," ")</f>
        <v xml:space="preserve"> </v>
      </c>
      <c r="J79" s="258" t="str">
        <f t="shared" si="43"/>
        <v xml:space="preserve"> </v>
      </c>
      <c r="X79" s="112"/>
      <c r="Y79" s="112"/>
      <c r="Z79" s="112"/>
    </row>
    <row r="80" spans="1:26" ht="14.45" customHeight="1">
      <c r="A80" s="571" t="s">
        <v>413</v>
      </c>
      <c r="B80" s="287"/>
      <c r="C80" s="260" t="s">
        <v>146</v>
      </c>
      <c r="D80" s="678">
        <v>0</v>
      </c>
      <c r="E80" s="238" t="str">
        <f>IF(D80=0," ",IF($B$78="TCAC",VLOOKUP($A$78,TCACrents,3,FALSE),IF($B$78="CalHFA",VLOOKUP($A$78,CalHFArents,3,FALSE),VLOOKUP($A$78,Otherrents,3,FALSE))))</f>
        <v xml:space="preserve"> </v>
      </c>
      <c r="F80" s="239" t="str">
        <f>IF(D80&gt;0,-Misc.!$AA$49," ")</f>
        <v xml:space="preserve"> </v>
      </c>
      <c r="G80" s="238" t="str">
        <f t="shared" si="44"/>
        <v xml:space="preserve"> </v>
      </c>
      <c r="H80" s="233">
        <v>0</v>
      </c>
      <c r="I80" s="238" t="str">
        <f t="shared" si="45"/>
        <v xml:space="preserve"> </v>
      </c>
      <c r="J80" s="258" t="str">
        <f t="shared" si="43"/>
        <v xml:space="preserve"> </v>
      </c>
      <c r="X80" s="112"/>
      <c r="Y80" s="112"/>
      <c r="Z80" s="112"/>
    </row>
    <row r="81" spans="1:26" ht="14.45" customHeight="1">
      <c r="A81" s="571" t="s">
        <v>414</v>
      </c>
      <c r="B81" s="573" t="e">
        <f>+D85/D$110</f>
        <v>#DIV/0!</v>
      </c>
      <c r="C81" s="260" t="s">
        <v>147</v>
      </c>
      <c r="D81" s="678">
        <v>0</v>
      </c>
      <c r="E81" s="238" t="str">
        <f>IF(D81=0," ",IF($B$78="TCAC",VLOOKUP($A$78,TCACrents,4,FALSE),IF($B$78="CalHFA",VLOOKUP($A$78,CalHFArents,4,FALSE),VLOOKUP($A$78,Otherrents,4,FALSE))))</f>
        <v xml:space="preserve"> </v>
      </c>
      <c r="F81" s="239" t="str">
        <f>IF(D81&gt;0,-Misc.!$AD$49," ")</f>
        <v xml:space="preserve"> </v>
      </c>
      <c r="G81" s="238" t="str">
        <f t="shared" si="44"/>
        <v xml:space="preserve"> </v>
      </c>
      <c r="H81" s="233">
        <v>0</v>
      </c>
      <c r="I81" s="238" t="str">
        <f t="shared" si="45"/>
        <v xml:space="preserve"> </v>
      </c>
      <c r="J81" s="258" t="str">
        <f t="shared" si="43"/>
        <v xml:space="preserve"> </v>
      </c>
      <c r="X81" s="112"/>
      <c r="Y81" s="112"/>
      <c r="Z81" s="112"/>
    </row>
    <row r="82" spans="1:26" ht="14.45" customHeight="1">
      <c r="A82" s="264"/>
      <c r="B82" s="286"/>
      <c r="C82" s="260" t="s">
        <v>148</v>
      </c>
      <c r="D82" s="678">
        <v>0</v>
      </c>
      <c r="E82" s="238" t="str">
        <f>IF(D82=0," ",IF($B$78="TCAC",VLOOKUP($A$78,TCACrents,5,FALSE),IF($B$78="CalHFA",VLOOKUP($A$78,CalHFArents,5,FALSE),VLOOKUP($A$78,Otherrents,5,FALSE))))</f>
        <v xml:space="preserve"> </v>
      </c>
      <c r="F82" s="239" t="str">
        <f>IF(D82&gt;0,-Misc.!$AG$49," ")</f>
        <v xml:space="preserve"> </v>
      </c>
      <c r="G82" s="238" t="str">
        <f t="shared" si="44"/>
        <v xml:space="preserve"> </v>
      </c>
      <c r="H82" s="233">
        <v>0</v>
      </c>
      <c r="I82" s="238" t="str">
        <f t="shared" si="45"/>
        <v xml:space="preserve"> </v>
      </c>
      <c r="J82" s="258" t="str">
        <f t="shared" si="43"/>
        <v xml:space="preserve"> </v>
      </c>
      <c r="X82" s="112"/>
      <c r="Y82" s="112"/>
      <c r="Z82" s="112"/>
    </row>
    <row r="83" spans="1:26" ht="14.45" customHeight="1">
      <c r="A83" s="264"/>
      <c r="B83" s="286"/>
      <c r="C83" s="260" t="s">
        <v>149</v>
      </c>
      <c r="D83" s="678">
        <v>0</v>
      </c>
      <c r="E83" s="238" t="str">
        <f>IF(D83=0," ",IF($B$78="TCAC",VLOOKUP($A$78,TCACrents,6,FALSE),IF($B$78="CalHFA",VLOOKUP($A$78,CalHFArents,6,FALSE),VLOOKUP($A$78,Otherrents,6,FALSE))))</f>
        <v xml:space="preserve"> </v>
      </c>
      <c r="F83" s="239" t="str">
        <f>IF(D83&gt;0,-Misc.!$AJ$49," ")</f>
        <v xml:space="preserve"> </v>
      </c>
      <c r="G83" s="238" t="str">
        <f t="shared" si="44"/>
        <v xml:space="preserve"> </v>
      </c>
      <c r="H83" s="233">
        <v>0</v>
      </c>
      <c r="I83" s="238" t="str">
        <f t="shared" si="45"/>
        <v xml:space="preserve"> </v>
      </c>
      <c r="J83" s="258" t="str">
        <f t="shared" si="43"/>
        <v xml:space="preserve"> </v>
      </c>
      <c r="X83" s="112"/>
      <c r="Y83" s="112"/>
      <c r="Z83" s="112"/>
    </row>
    <row r="84" spans="1:26" ht="14.45" customHeight="1" thickBot="1">
      <c r="A84" s="264"/>
      <c r="B84" s="286"/>
      <c r="C84" s="268" t="s">
        <v>150</v>
      </c>
      <c r="D84" s="679">
        <v>0</v>
      </c>
      <c r="E84" s="240" t="str">
        <f>IF(D84=0," ",IF($B$78="TCAC",VLOOKUP($A$78,TCACrents,7,FALSE),IF($B$78="CalHFA",VLOOKUP($A$78,CalHFArents,7,FALSE),VLOOKUP($A$78,Otherrents,7,FALSE))))</f>
        <v xml:space="preserve"> </v>
      </c>
      <c r="F84" s="241" t="str">
        <f>IF(D84&gt;0,-Misc.!$AM$49," ")</f>
        <v xml:space="preserve"> </v>
      </c>
      <c r="G84" s="240" t="str">
        <f t="shared" si="44"/>
        <v xml:space="preserve"> </v>
      </c>
      <c r="H84" s="234">
        <v>0</v>
      </c>
      <c r="I84" s="240" t="str">
        <f t="shared" si="45"/>
        <v xml:space="preserve"> </v>
      </c>
      <c r="J84" s="269" t="str">
        <f t="shared" si="43"/>
        <v xml:space="preserve"> </v>
      </c>
      <c r="X84" s="112"/>
      <c r="Y84" s="112"/>
      <c r="Z84" s="112"/>
    </row>
    <row r="85" spans="1:26" ht="14.45" customHeight="1" thickBot="1">
      <c r="A85" s="273"/>
      <c r="B85" s="274"/>
      <c r="C85" s="274"/>
      <c r="D85" s="677">
        <f>SUM(D78:D84)</f>
        <v>0</v>
      </c>
      <c r="E85" s="275" t="s">
        <v>801</v>
      </c>
      <c r="F85" s="329"/>
      <c r="G85" s="329"/>
      <c r="H85" s="329"/>
      <c r="I85" s="330">
        <f>SUM(I78:I84)</f>
        <v>0</v>
      </c>
      <c r="J85" s="331">
        <f>SUM(J78:J84)</f>
        <v>0</v>
      </c>
      <c r="Z85" s="112"/>
    </row>
    <row r="86" spans="1:26" ht="14.45" customHeight="1">
      <c r="A86" s="230"/>
      <c r="B86" s="231"/>
      <c r="C86" s="276" t="s">
        <v>654</v>
      </c>
      <c r="D86" s="680">
        <v>0</v>
      </c>
      <c r="E86" s="235">
        <v>0</v>
      </c>
      <c r="F86" s="322">
        <v>0</v>
      </c>
      <c r="G86" s="235">
        <v>0</v>
      </c>
      <c r="H86" s="235">
        <v>0</v>
      </c>
      <c r="I86" s="277" t="str">
        <f>IF(D86&gt;0,+H86*D86," ")</f>
        <v xml:space="preserve"> </v>
      </c>
      <c r="J86" s="278" t="str">
        <f t="shared" ref="J86:J92" si="46">IF(D86&gt;0,G86*D86," ")</f>
        <v xml:space="preserve"> </v>
      </c>
      <c r="Z86" s="112"/>
    </row>
    <row r="87" spans="1:26" ht="14.45" customHeight="1">
      <c r="A87" s="259"/>
      <c r="B87" s="286"/>
      <c r="C87" s="260" t="s">
        <v>145</v>
      </c>
      <c r="D87" s="678">
        <v>0</v>
      </c>
      <c r="E87" s="238" t="str">
        <f>IF(D87=0," ",IF($B$86="TCAC",VLOOKUP($A$86,TCACrents,2,FALSE),IF($B$86="CalHFA",VLOOKUP($A$86,CalHFArents,2,FALSE),VLOOKUP($A$86,Otherrents,2,FALSE))))</f>
        <v xml:space="preserve"> </v>
      </c>
      <c r="F87" s="239" t="str">
        <f>IF(D87&gt;0,-Misc.!$X$49," ")</f>
        <v xml:space="preserve"> </v>
      </c>
      <c r="G87" s="238" t="str">
        <f t="shared" ref="G87:G92" si="47">IF(D87&gt;0,SUM(E87:F87)," ")</f>
        <v xml:space="preserve"> </v>
      </c>
      <c r="H87" s="233">
        <v>0</v>
      </c>
      <c r="I87" s="238" t="str">
        <f t="shared" ref="I87:I92" si="48">IF(D87&gt;0,+H87*D87," ")</f>
        <v xml:space="preserve"> </v>
      </c>
      <c r="J87" s="258" t="str">
        <f t="shared" si="46"/>
        <v xml:space="preserve"> </v>
      </c>
      <c r="Z87" s="112"/>
    </row>
    <row r="88" spans="1:26" ht="14.45" customHeight="1">
      <c r="A88" s="571" t="s">
        <v>413</v>
      </c>
      <c r="B88" s="287"/>
      <c r="C88" s="260" t="s">
        <v>146</v>
      </c>
      <c r="D88" s="678">
        <v>0</v>
      </c>
      <c r="E88" s="238" t="str">
        <f>IF(D88=0," ",IF($B$86="TCAC",VLOOKUP($A$86,TCACrents,3,FALSE),IF($B$86="CalHFA",VLOOKUP($A$86,CalHFArents,3,FALSE),VLOOKUP($A$86,Otherrents,3,FALSE))))</f>
        <v xml:space="preserve"> </v>
      </c>
      <c r="F88" s="239" t="str">
        <f>IF(D88&gt;0,-Misc.!$AA$49," ")</f>
        <v xml:space="preserve"> </v>
      </c>
      <c r="G88" s="238" t="str">
        <f t="shared" si="47"/>
        <v xml:space="preserve"> </v>
      </c>
      <c r="H88" s="233">
        <v>0</v>
      </c>
      <c r="I88" s="238" t="str">
        <f t="shared" si="48"/>
        <v xml:space="preserve"> </v>
      </c>
      <c r="J88" s="258" t="str">
        <f t="shared" si="46"/>
        <v xml:space="preserve"> </v>
      </c>
      <c r="Z88" s="112"/>
    </row>
    <row r="89" spans="1:26" ht="14.45" customHeight="1">
      <c r="A89" s="571" t="s">
        <v>414</v>
      </c>
      <c r="B89" s="573" t="e">
        <f>+D93/D$110</f>
        <v>#DIV/0!</v>
      </c>
      <c r="C89" s="260" t="s">
        <v>147</v>
      </c>
      <c r="D89" s="678">
        <v>0</v>
      </c>
      <c r="E89" s="238" t="str">
        <f>IF(D89=0," ",IF($B$86="TCAC",VLOOKUP($A$86,TCACrents,4,FALSE),IF($B$86="CalHFA",VLOOKUP($A$86,CalHFArents,4,FALSE),VLOOKUP($A$86,Otherrents,4,FALSE))))</f>
        <v xml:space="preserve"> </v>
      </c>
      <c r="F89" s="239" t="str">
        <f>IF(D89&gt;0,-Misc.!$AD$49," ")</f>
        <v xml:space="preserve"> </v>
      </c>
      <c r="G89" s="238" t="str">
        <f t="shared" si="47"/>
        <v xml:space="preserve"> </v>
      </c>
      <c r="H89" s="233">
        <v>0</v>
      </c>
      <c r="I89" s="238" t="str">
        <f t="shared" si="48"/>
        <v xml:space="preserve"> </v>
      </c>
      <c r="J89" s="258" t="str">
        <f t="shared" si="46"/>
        <v xml:space="preserve"> </v>
      </c>
      <c r="Z89" s="112"/>
    </row>
    <row r="90" spans="1:26" ht="14.45" customHeight="1">
      <c r="A90" s="264"/>
      <c r="B90" s="286"/>
      <c r="C90" s="260" t="s">
        <v>148</v>
      </c>
      <c r="D90" s="678">
        <v>0</v>
      </c>
      <c r="E90" s="238" t="str">
        <f>IF(D90=0," ",IF($B$86="TCAC",VLOOKUP($A$86,TCACrents,5,FALSE),IF($B$86="CalHFA",VLOOKUP($A$86,CalHFArents,5,FALSE),VLOOKUP($A$86,Otherrents,5,FALSE))))</f>
        <v xml:space="preserve"> </v>
      </c>
      <c r="F90" s="239" t="str">
        <f>IF(D90&gt;0,-Misc.!$AG$49," ")</f>
        <v xml:space="preserve"> </v>
      </c>
      <c r="G90" s="238" t="str">
        <f t="shared" si="47"/>
        <v xml:space="preserve"> </v>
      </c>
      <c r="H90" s="233">
        <v>0</v>
      </c>
      <c r="I90" s="238" t="str">
        <f t="shared" si="48"/>
        <v xml:space="preserve"> </v>
      </c>
      <c r="J90" s="258" t="str">
        <f t="shared" si="46"/>
        <v xml:space="preserve"> </v>
      </c>
      <c r="Z90" s="112"/>
    </row>
    <row r="91" spans="1:26" ht="14.45" customHeight="1">
      <c r="A91" s="264"/>
      <c r="B91" s="286"/>
      <c r="C91" s="260" t="s">
        <v>149</v>
      </c>
      <c r="D91" s="678">
        <v>0</v>
      </c>
      <c r="E91" s="238" t="str">
        <f>IF(D91=0," ",IF($B$86="TCAC",VLOOKUP($A$86,TCACrents,6,FALSE),IF($B$86="CalHFA",VLOOKUP($A$86,CalHFArents,6,FALSE),VLOOKUP($A$86,Otherrents,6,FALSE))))</f>
        <v xml:space="preserve"> </v>
      </c>
      <c r="F91" s="239" t="str">
        <f>IF(D91&gt;0,-Misc.!$AJ$49," ")</f>
        <v xml:space="preserve"> </v>
      </c>
      <c r="G91" s="238" t="str">
        <f t="shared" si="47"/>
        <v xml:space="preserve"> </v>
      </c>
      <c r="H91" s="233">
        <v>0</v>
      </c>
      <c r="I91" s="238" t="str">
        <f t="shared" si="48"/>
        <v xml:space="preserve"> </v>
      </c>
      <c r="J91" s="258" t="str">
        <f t="shared" si="46"/>
        <v xml:space="preserve"> </v>
      </c>
      <c r="Z91" s="112"/>
    </row>
    <row r="92" spans="1:26" ht="14.45" customHeight="1" thickBot="1">
      <c r="A92" s="264"/>
      <c r="B92" s="286"/>
      <c r="C92" s="268" t="s">
        <v>150</v>
      </c>
      <c r="D92" s="679">
        <v>0</v>
      </c>
      <c r="E92" s="240" t="str">
        <f>IF(D92=0," ",IF($B$86="TCAC",VLOOKUP($A$86,TCACrents,7,FALSE),IF($B$86="CalHFA",VLOOKUP($A$86,CalHFArents,7,FALSE),VLOOKUP($A$86,Otherrents,7,FALSE))))</f>
        <v xml:space="preserve"> </v>
      </c>
      <c r="F92" s="241" t="str">
        <f>IF(D92&gt;0,-Misc.!$AM$49," ")</f>
        <v xml:space="preserve"> </v>
      </c>
      <c r="G92" s="240" t="str">
        <f t="shared" si="47"/>
        <v xml:space="preserve"> </v>
      </c>
      <c r="H92" s="234">
        <v>0</v>
      </c>
      <c r="I92" s="240" t="str">
        <f t="shared" si="48"/>
        <v xml:space="preserve"> </v>
      </c>
      <c r="J92" s="269" t="str">
        <f t="shared" si="46"/>
        <v xml:space="preserve"> </v>
      </c>
      <c r="Z92" s="112"/>
    </row>
    <row r="93" spans="1:26" ht="14.45" customHeight="1" thickBot="1">
      <c r="A93" s="273"/>
      <c r="B93" s="274"/>
      <c r="C93" s="274"/>
      <c r="D93" s="677">
        <f>SUM(D86:D92)</f>
        <v>0</v>
      </c>
      <c r="E93" s="275" t="s">
        <v>801</v>
      </c>
      <c r="F93" s="329"/>
      <c r="G93" s="329"/>
      <c r="H93" s="329"/>
      <c r="I93" s="330">
        <f>SUM(I86:I92)</f>
        <v>0</v>
      </c>
      <c r="J93" s="331">
        <f>SUM(J86:J92)</f>
        <v>0</v>
      </c>
      <c r="Z93" s="112"/>
    </row>
    <row r="94" spans="1:26" ht="14.45" customHeight="1">
      <c r="A94" s="230"/>
      <c r="B94" s="231"/>
      <c r="C94" s="276" t="s">
        <v>654</v>
      </c>
      <c r="D94" s="680">
        <v>0</v>
      </c>
      <c r="E94" s="235">
        <v>0</v>
      </c>
      <c r="F94" s="322">
        <v>0</v>
      </c>
      <c r="G94" s="235">
        <v>0</v>
      </c>
      <c r="H94" s="235">
        <v>0</v>
      </c>
      <c r="I94" s="277" t="str">
        <f>IF(D94&gt;0,+H94*D94," ")</f>
        <v xml:space="preserve"> </v>
      </c>
      <c r="J94" s="278" t="str">
        <f t="shared" ref="J94:J100" si="49">IF(D94&gt;0,G94*D94," ")</f>
        <v xml:space="preserve"> </v>
      </c>
      <c r="Z94" s="112"/>
    </row>
    <row r="95" spans="1:26" ht="14.45" customHeight="1">
      <c r="A95" s="259"/>
      <c r="B95" s="286"/>
      <c r="C95" s="260" t="s">
        <v>145</v>
      </c>
      <c r="D95" s="678">
        <v>0</v>
      </c>
      <c r="E95" s="238" t="str">
        <f>IF(D95=0," ",IF($B$94="TCAC",VLOOKUP($A$94,TCACrents,2,FALSE),IF($B$94="CalHFA",VLOOKUP($A$94,CalHFArents,2,FALSE),VLOOKUP($A$94,Otherrents,2,FALSE))))</f>
        <v xml:space="preserve"> </v>
      </c>
      <c r="F95" s="239" t="str">
        <f>IF(D95&gt;0,-Misc.!$X$49," ")</f>
        <v xml:space="preserve"> </v>
      </c>
      <c r="G95" s="238" t="str">
        <f t="shared" ref="G95:G100" si="50">IF(D95&gt;0,SUM(E95:F95)," ")</f>
        <v xml:space="preserve"> </v>
      </c>
      <c r="H95" s="233">
        <v>0</v>
      </c>
      <c r="I95" s="238" t="str">
        <f t="shared" ref="I95:I100" si="51">IF(D95&gt;0,+H95*D95," ")</f>
        <v xml:space="preserve"> </v>
      </c>
      <c r="J95" s="258" t="str">
        <f t="shared" si="49"/>
        <v xml:space="preserve"> </v>
      </c>
      <c r="Z95" s="112"/>
    </row>
    <row r="96" spans="1:26" ht="14.45" customHeight="1">
      <c r="A96" s="571" t="s">
        <v>413</v>
      </c>
      <c r="B96" s="287"/>
      <c r="C96" s="260" t="s">
        <v>146</v>
      </c>
      <c r="D96" s="678">
        <v>0</v>
      </c>
      <c r="E96" s="238" t="str">
        <f>IF(D96=0," ",IF($B$94="TCAC",VLOOKUP($A$94,TCACrents,3,FALSE),IF($B$94="CalHFA",VLOOKUP($A$94,CalHFArents,3,FALSE),VLOOKUP($A$94,Otherrents,3,FALSE))))</f>
        <v xml:space="preserve"> </v>
      </c>
      <c r="F96" s="239" t="str">
        <f>IF(D96&gt;0,-Misc.!$AA$49," ")</f>
        <v xml:space="preserve"> </v>
      </c>
      <c r="G96" s="238" t="str">
        <f t="shared" si="50"/>
        <v xml:space="preserve"> </v>
      </c>
      <c r="H96" s="233">
        <v>0</v>
      </c>
      <c r="I96" s="238" t="str">
        <f t="shared" si="51"/>
        <v xml:space="preserve"> </v>
      </c>
      <c r="J96" s="258" t="str">
        <f t="shared" si="49"/>
        <v xml:space="preserve"> </v>
      </c>
      <c r="Z96" s="112"/>
    </row>
    <row r="97" spans="1:26" ht="14.45" customHeight="1">
      <c r="A97" s="571" t="s">
        <v>414</v>
      </c>
      <c r="B97" s="573" t="e">
        <f>+D101/D$110</f>
        <v>#DIV/0!</v>
      </c>
      <c r="C97" s="260" t="s">
        <v>147</v>
      </c>
      <c r="D97" s="678">
        <v>0</v>
      </c>
      <c r="E97" s="238" t="str">
        <f>IF(D97=0," ",IF($B$94="TCAC",VLOOKUP($A$94,TCACrents,4,FALSE),IF($B$94="CalHFA",VLOOKUP($A$94,CalHFArents,4,FALSE),VLOOKUP($A$94,Otherrents,4,FALSE))))</f>
        <v xml:space="preserve"> </v>
      </c>
      <c r="F97" s="239" t="str">
        <f>IF(D97&gt;0,-Misc.!$AD$49," ")</f>
        <v xml:space="preserve"> </v>
      </c>
      <c r="G97" s="238" t="str">
        <f t="shared" si="50"/>
        <v xml:space="preserve"> </v>
      </c>
      <c r="H97" s="233">
        <v>0</v>
      </c>
      <c r="I97" s="238" t="str">
        <f t="shared" si="51"/>
        <v xml:space="preserve"> </v>
      </c>
      <c r="J97" s="258" t="str">
        <f t="shared" si="49"/>
        <v xml:space="preserve"> </v>
      </c>
      <c r="Z97" s="112"/>
    </row>
    <row r="98" spans="1:26" ht="14.45" customHeight="1">
      <c r="A98" s="264"/>
      <c r="B98" s="286"/>
      <c r="C98" s="260" t="s">
        <v>148</v>
      </c>
      <c r="D98" s="678">
        <v>0</v>
      </c>
      <c r="E98" s="238" t="str">
        <f>IF(D98=0," ",IF($B$94="TCAC",VLOOKUP($A$94,TCACrents,5,FALSE),IF($B$94="CalHFA",VLOOKUP($A$94,CalHFArents,5,FALSE),VLOOKUP($A$94,Otherrents,5,FALSE))))</f>
        <v xml:space="preserve"> </v>
      </c>
      <c r="F98" s="239" t="str">
        <f>IF(D98&gt;0,-Misc.!$AG$49," ")</f>
        <v xml:space="preserve"> </v>
      </c>
      <c r="G98" s="238" t="str">
        <f t="shared" si="50"/>
        <v xml:space="preserve"> </v>
      </c>
      <c r="H98" s="233">
        <v>0</v>
      </c>
      <c r="I98" s="238" t="str">
        <f t="shared" si="51"/>
        <v xml:space="preserve"> </v>
      </c>
      <c r="J98" s="258" t="str">
        <f t="shared" si="49"/>
        <v xml:space="preserve"> </v>
      </c>
    </row>
    <row r="99" spans="1:26" ht="14.45" customHeight="1">
      <c r="A99" s="264"/>
      <c r="B99" s="286"/>
      <c r="C99" s="260" t="s">
        <v>149</v>
      </c>
      <c r="D99" s="678">
        <v>0</v>
      </c>
      <c r="E99" s="238" t="str">
        <f>IF(D99=0," ",IF($B$94="TCAC",VLOOKUP($A$94,TCACrents,6,FALSE),IF($B$94="CalHFA",VLOOKUP($A$94,CalHFArents,6,FALSE),VLOOKUP($A$94,Otherrents,6,FALSE))))</f>
        <v xml:space="preserve"> </v>
      </c>
      <c r="F99" s="239" t="str">
        <f>IF(D99&gt;0,-Misc.!$AJ$49," ")</f>
        <v xml:space="preserve"> </v>
      </c>
      <c r="G99" s="238" t="str">
        <f t="shared" si="50"/>
        <v xml:space="preserve"> </v>
      </c>
      <c r="H99" s="233">
        <v>0</v>
      </c>
      <c r="I99" s="238" t="str">
        <f t="shared" si="51"/>
        <v xml:space="preserve"> </v>
      </c>
      <c r="J99" s="258" t="str">
        <f t="shared" si="49"/>
        <v xml:space="preserve"> </v>
      </c>
    </row>
    <row r="100" spans="1:26" ht="14.45" customHeight="1" thickBot="1">
      <c r="A100" s="264"/>
      <c r="B100" s="286"/>
      <c r="C100" s="268" t="s">
        <v>150</v>
      </c>
      <c r="D100" s="679">
        <v>0</v>
      </c>
      <c r="E100" s="240" t="str">
        <f>IF(D100=0," ",IF($B$94="TCAC",VLOOKUP($A$94,TCACrents,7,FALSE),IF($B$94="CalHFA",VLOOKUP($A$94,CalHFArents,7,FALSE),VLOOKUP($A$94,Otherrents,7,FALSE))))</f>
        <v xml:space="preserve"> </v>
      </c>
      <c r="F100" s="241" t="str">
        <f>IF(D100&gt;0,-Misc.!$AM$49," ")</f>
        <v xml:space="preserve"> </v>
      </c>
      <c r="G100" s="240" t="str">
        <f t="shared" si="50"/>
        <v xml:space="preserve"> </v>
      </c>
      <c r="H100" s="234">
        <v>0</v>
      </c>
      <c r="I100" s="240" t="str">
        <f t="shared" si="51"/>
        <v xml:space="preserve"> </v>
      </c>
      <c r="J100" s="269" t="str">
        <f t="shared" si="49"/>
        <v xml:space="preserve"> </v>
      </c>
    </row>
    <row r="101" spans="1:26" ht="14.45" customHeight="1" thickBot="1">
      <c r="A101" s="273"/>
      <c r="B101" s="274"/>
      <c r="C101" s="274"/>
      <c r="D101" s="677">
        <f>SUM(D94:D100)</f>
        <v>0</v>
      </c>
      <c r="E101" s="275" t="s">
        <v>801</v>
      </c>
      <c r="F101" s="329"/>
      <c r="G101" s="329"/>
      <c r="H101" s="329"/>
      <c r="I101" s="330">
        <f>SUM(I94:I100)</f>
        <v>0</v>
      </c>
      <c r="J101" s="331">
        <f>SUM(J94:J100)</f>
        <v>0</v>
      </c>
    </row>
    <row r="102" spans="1:26" ht="14.45" customHeight="1">
      <c r="A102" s="230"/>
      <c r="B102" s="231"/>
      <c r="C102" s="276" t="s">
        <v>654</v>
      </c>
      <c r="D102" s="680">
        <v>0</v>
      </c>
      <c r="E102" s="235">
        <v>0</v>
      </c>
      <c r="F102" s="322">
        <v>0</v>
      </c>
      <c r="G102" s="235">
        <v>0</v>
      </c>
      <c r="H102" s="235">
        <v>0</v>
      </c>
      <c r="I102" s="277" t="str">
        <f>IF(D102&gt;0,+H102*D102," ")</f>
        <v xml:space="preserve"> </v>
      </c>
      <c r="J102" s="278" t="str">
        <f t="shared" ref="J102:J108" si="52">IF(D102&gt;0,G102*D102," ")</f>
        <v xml:space="preserve"> </v>
      </c>
    </row>
    <row r="103" spans="1:26" ht="14.45" customHeight="1">
      <c r="A103" s="259"/>
      <c r="B103" s="286"/>
      <c r="C103" s="260" t="s">
        <v>145</v>
      </c>
      <c r="D103" s="678">
        <v>0</v>
      </c>
      <c r="E103" s="238" t="str">
        <f>IF(D103=0," ",IF($B$102="TCAC",VLOOKUP($A$102,TCACrents,2,FALSE),IF($B$102="CalHFA",VLOOKUP($A$102,CalHFArents,2,FALSE),VLOOKUP($A$102,Otherrents,2,FALSE))))</f>
        <v xml:space="preserve"> </v>
      </c>
      <c r="F103" s="239" t="str">
        <f>IF(D103&gt;0,-Misc.!$X$49," ")</f>
        <v xml:space="preserve"> </v>
      </c>
      <c r="G103" s="238" t="str">
        <f t="shared" ref="G103:G108" si="53">IF(D103&gt;0,SUM(E103:F103)," ")</f>
        <v xml:space="preserve"> </v>
      </c>
      <c r="H103" s="233">
        <v>0</v>
      </c>
      <c r="I103" s="238" t="str">
        <f t="shared" ref="I103:I108" si="54">IF(D103&gt;0,+H103*D103," ")</f>
        <v xml:space="preserve"> </v>
      </c>
      <c r="J103" s="258" t="str">
        <f t="shared" si="52"/>
        <v xml:space="preserve"> </v>
      </c>
    </row>
    <row r="104" spans="1:26" ht="14.45" customHeight="1">
      <c r="A104" s="571" t="s">
        <v>413</v>
      </c>
      <c r="B104" s="287"/>
      <c r="C104" s="260" t="s">
        <v>146</v>
      </c>
      <c r="D104" s="678">
        <v>0</v>
      </c>
      <c r="E104" s="238" t="str">
        <f>IF(D104=0," ",IF($B$102="TCAC",VLOOKUP($A$102,TCACrents,3,FALSE),IF($B$102="CalHFA",VLOOKUP($A$102,CalHFArents,3,FALSE),VLOOKUP($A$102,Otherrents,3,FALSE))))</f>
        <v xml:space="preserve"> </v>
      </c>
      <c r="F104" s="239" t="str">
        <f>IF(D104&gt;0,-Misc.!$AA$49," ")</f>
        <v xml:space="preserve"> </v>
      </c>
      <c r="G104" s="238" t="str">
        <f t="shared" si="53"/>
        <v xml:space="preserve"> </v>
      </c>
      <c r="H104" s="233">
        <v>0</v>
      </c>
      <c r="I104" s="238" t="str">
        <f t="shared" si="54"/>
        <v xml:space="preserve"> </v>
      </c>
      <c r="J104" s="258" t="str">
        <f t="shared" si="52"/>
        <v xml:space="preserve"> </v>
      </c>
    </row>
    <row r="105" spans="1:26" ht="14.45" customHeight="1">
      <c r="A105" s="571" t="s">
        <v>414</v>
      </c>
      <c r="B105" s="573" t="e">
        <f>+D109/D$110</f>
        <v>#DIV/0!</v>
      </c>
      <c r="C105" s="260" t="s">
        <v>147</v>
      </c>
      <c r="D105" s="678">
        <v>0</v>
      </c>
      <c r="E105" s="238" t="str">
        <f>IF(D105=0," ",IF($B$102="TCAC",VLOOKUP($A$102,TCACrents,4,FALSE),IF($B$102="CalHFA",VLOOKUP($A$102,CalHFArents,4,FALSE),VLOOKUP($A$102,Otherrents,4,FALSE))))</f>
        <v xml:space="preserve"> </v>
      </c>
      <c r="F105" s="239" t="str">
        <f>IF(D105&gt;0,-Misc.!$AD$49," ")</f>
        <v xml:space="preserve"> </v>
      </c>
      <c r="G105" s="238" t="str">
        <f t="shared" si="53"/>
        <v xml:space="preserve"> </v>
      </c>
      <c r="H105" s="233">
        <v>0</v>
      </c>
      <c r="I105" s="238" t="str">
        <f t="shared" si="54"/>
        <v xml:space="preserve"> </v>
      </c>
      <c r="J105" s="258" t="str">
        <f t="shared" si="52"/>
        <v xml:space="preserve"> </v>
      </c>
    </row>
    <row r="106" spans="1:26" ht="14.45" customHeight="1">
      <c r="A106" s="264"/>
      <c r="B106" s="286"/>
      <c r="C106" s="260" t="s">
        <v>148</v>
      </c>
      <c r="D106" s="678">
        <v>0</v>
      </c>
      <c r="E106" s="238" t="str">
        <f>IF(D106=0," ",IF($B$102="TCAC",VLOOKUP($A$102,TCACrents,5,FALSE),IF($B$102="CalHFA",VLOOKUP($A$102,CalHFArents,5,FALSE),VLOOKUP($A$102,Otherrents,5,FALSE))))</f>
        <v xml:space="preserve"> </v>
      </c>
      <c r="F106" s="239" t="str">
        <f>IF(D106&gt;0,-Misc.!$AG$49," ")</f>
        <v xml:space="preserve"> </v>
      </c>
      <c r="G106" s="238" t="str">
        <f t="shared" si="53"/>
        <v xml:space="preserve"> </v>
      </c>
      <c r="H106" s="233">
        <v>0</v>
      </c>
      <c r="I106" s="238" t="str">
        <f t="shared" si="54"/>
        <v xml:space="preserve"> </v>
      </c>
      <c r="J106" s="258" t="str">
        <f t="shared" si="52"/>
        <v xml:space="preserve"> </v>
      </c>
    </row>
    <row r="107" spans="1:26" ht="14.45" customHeight="1">
      <c r="A107" s="264"/>
      <c r="B107" s="286"/>
      <c r="C107" s="260" t="s">
        <v>149</v>
      </c>
      <c r="D107" s="678">
        <v>0</v>
      </c>
      <c r="E107" s="238" t="str">
        <f>IF(D107=0," ",IF($B$102="TCAC",VLOOKUP($A$102,TCACrents,6,FALSE),IF($B$102="CalHFA",VLOOKUP($A$102,CalHFArents,6,FALSE),VLOOKUP($A$102,Otherrents,6,FALSE))))</f>
        <v xml:space="preserve"> </v>
      </c>
      <c r="F107" s="239" t="str">
        <f>IF(D107&gt;0,-Misc.!$AJ$49," ")</f>
        <v xml:space="preserve"> </v>
      </c>
      <c r="G107" s="238" t="str">
        <f t="shared" si="53"/>
        <v xml:space="preserve"> </v>
      </c>
      <c r="H107" s="233">
        <v>0</v>
      </c>
      <c r="I107" s="238" t="str">
        <f t="shared" si="54"/>
        <v xml:space="preserve"> </v>
      </c>
      <c r="J107" s="258" t="str">
        <f t="shared" si="52"/>
        <v xml:space="preserve"> </v>
      </c>
    </row>
    <row r="108" spans="1:26" ht="14.45" customHeight="1" thickBot="1">
      <c r="A108" s="264"/>
      <c r="B108" s="286"/>
      <c r="C108" s="268" t="s">
        <v>150</v>
      </c>
      <c r="D108" s="679">
        <v>0</v>
      </c>
      <c r="E108" s="240" t="str">
        <f>IF(D108=0," ",IF($B$102="TCAC",VLOOKUP($A$102,TCACrents,7,FALSE),IF($B$102="CalHFA",VLOOKUP($A$102,CalHFArents,7,FALSE),VLOOKUP($A$102,Otherrents,7,FALSE))))</f>
        <v xml:space="preserve"> </v>
      </c>
      <c r="F108" s="241" t="str">
        <f>IF(D108&gt;0,-Misc.!$AM$49," ")</f>
        <v xml:space="preserve"> </v>
      </c>
      <c r="G108" s="240" t="str">
        <f t="shared" si="53"/>
        <v xml:space="preserve"> </v>
      </c>
      <c r="H108" s="234">
        <v>0</v>
      </c>
      <c r="I108" s="240" t="str">
        <f t="shared" si="54"/>
        <v xml:space="preserve"> </v>
      </c>
      <c r="J108" s="269" t="str">
        <f t="shared" si="52"/>
        <v xml:space="preserve"> </v>
      </c>
    </row>
    <row r="109" spans="1:26" ht="14.45" customHeight="1" thickBot="1">
      <c r="A109" s="273"/>
      <c r="B109" s="274"/>
      <c r="C109" s="274"/>
      <c r="D109" s="677">
        <f>SUM(D102:D108)</f>
        <v>0</v>
      </c>
      <c r="E109" s="275" t="s">
        <v>207</v>
      </c>
      <c r="F109" s="329"/>
      <c r="G109" s="329"/>
      <c r="H109" s="329"/>
      <c r="I109" s="330">
        <f>SUM(I102:I108)</f>
        <v>0</v>
      </c>
      <c r="J109" s="331">
        <f>SUM(J102:J108)</f>
        <v>0</v>
      </c>
    </row>
    <row r="110" spans="1:26" ht="14.45" customHeight="1" thickBot="1">
      <c r="A110" s="273" t="s">
        <v>1002</v>
      </c>
      <c r="B110" s="274"/>
      <c r="C110" s="274"/>
      <c r="D110" s="677">
        <f>+D25+D33+D41+D49+D57+D69+D77+D85+D93+D101+D109</f>
        <v>0</v>
      </c>
      <c r="E110" s="275" t="s">
        <v>208</v>
      </c>
      <c r="F110" s="590"/>
      <c r="G110" s="329"/>
      <c r="H110" s="329"/>
      <c r="I110" s="330">
        <f>+I25+I33+I41+I49+I57+I69+I77+I85+I93+I101+I109</f>
        <v>0</v>
      </c>
      <c r="J110" s="591">
        <f>+J25+J33+J41+J49+J57+J69+J77+J85+J93+J101+J109</f>
        <v>0</v>
      </c>
    </row>
    <row r="111" spans="1:26" ht="14.45" customHeight="1" thickBot="1">
      <c r="A111" s="592"/>
      <c r="B111" s="592"/>
      <c r="C111" s="592"/>
      <c r="D111" s="681"/>
      <c r="E111" s="592"/>
      <c r="F111" s="592"/>
      <c r="G111" s="593"/>
      <c r="H111" s="594"/>
      <c r="I111" s="592"/>
      <c r="J111" s="592"/>
    </row>
    <row r="112" spans="1:26" ht="14.45" customHeight="1">
      <c r="A112" s="1916" t="s">
        <v>450</v>
      </c>
      <c r="B112" s="1917"/>
      <c r="C112" s="597"/>
      <c r="D112" s="682">
        <v>0</v>
      </c>
      <c r="E112" s="598"/>
      <c r="F112" s="598"/>
      <c r="G112" s="599"/>
      <c r="H112" s="600">
        <v>0</v>
      </c>
      <c r="I112" s="601">
        <f>+D112*H112</f>
        <v>0</v>
      </c>
      <c r="J112" s="602"/>
    </row>
    <row r="113" spans="1:27" ht="14.45" customHeight="1">
      <c r="A113" s="575"/>
      <c r="B113" s="574"/>
      <c r="C113" s="236"/>
      <c r="D113" s="683">
        <v>0</v>
      </c>
      <c r="E113" s="325"/>
      <c r="F113" s="325"/>
      <c r="G113" s="324"/>
      <c r="H113" s="233">
        <v>0</v>
      </c>
      <c r="I113" s="199">
        <f t="shared" ref="I113:I123" si="55">+D113*H113</f>
        <v>0</v>
      </c>
      <c r="J113" s="258"/>
    </row>
    <row r="114" spans="1:27" ht="14.45" customHeight="1">
      <c r="A114" s="571"/>
      <c r="B114" s="576"/>
      <c r="C114" s="236"/>
      <c r="D114" s="683">
        <v>0</v>
      </c>
      <c r="E114" s="325"/>
      <c r="F114" s="325"/>
      <c r="G114" s="324"/>
      <c r="H114" s="233">
        <v>0</v>
      </c>
      <c r="I114" s="199">
        <f t="shared" si="55"/>
        <v>0</v>
      </c>
      <c r="J114" s="258"/>
    </row>
    <row r="115" spans="1:27" ht="14.45" customHeight="1">
      <c r="A115" s="571"/>
      <c r="B115" s="572"/>
      <c r="C115" s="236"/>
      <c r="D115" s="683">
        <v>0</v>
      </c>
      <c r="E115" s="325"/>
      <c r="F115" s="325"/>
      <c r="G115" s="324"/>
      <c r="H115" s="233">
        <v>0</v>
      </c>
      <c r="I115" s="199">
        <f>+D115*H115</f>
        <v>0</v>
      </c>
      <c r="J115" s="258"/>
    </row>
    <row r="116" spans="1:27" ht="14.45" customHeight="1">
      <c r="A116" s="571"/>
      <c r="B116" s="572"/>
      <c r="C116" s="236"/>
      <c r="D116" s="683">
        <v>0</v>
      </c>
      <c r="E116" s="325"/>
      <c r="F116" s="325"/>
      <c r="G116" s="324"/>
      <c r="H116" s="233">
        <v>0</v>
      </c>
      <c r="I116" s="199">
        <f>+D116*H116</f>
        <v>0</v>
      </c>
      <c r="J116" s="258"/>
    </row>
    <row r="117" spans="1:27" ht="14.45" customHeight="1">
      <c r="A117" s="571"/>
      <c r="B117" s="572"/>
      <c r="C117" s="236"/>
      <c r="D117" s="683">
        <v>0</v>
      </c>
      <c r="E117" s="325"/>
      <c r="F117" s="325"/>
      <c r="G117" s="324"/>
      <c r="H117" s="233">
        <v>0</v>
      </c>
      <c r="I117" s="199">
        <f>+D117*H117</f>
        <v>0</v>
      </c>
      <c r="J117" s="258"/>
    </row>
    <row r="118" spans="1:27" ht="14.45" customHeight="1">
      <c r="A118" s="571"/>
      <c r="B118" s="572"/>
      <c r="C118" s="236"/>
      <c r="D118" s="683">
        <v>0</v>
      </c>
      <c r="E118" s="325"/>
      <c r="F118" s="325"/>
      <c r="G118" s="324"/>
      <c r="H118" s="233">
        <v>0</v>
      </c>
      <c r="I118" s="199">
        <f>+D118*H118</f>
        <v>0</v>
      </c>
      <c r="J118" s="258"/>
    </row>
    <row r="119" spans="1:27" ht="14.45" customHeight="1">
      <c r="A119" s="571"/>
      <c r="B119" s="572"/>
      <c r="C119" s="236"/>
      <c r="D119" s="683">
        <v>0</v>
      </c>
      <c r="E119" s="325"/>
      <c r="F119" s="325"/>
      <c r="G119" s="324"/>
      <c r="H119" s="233">
        <v>0</v>
      </c>
      <c r="I119" s="199">
        <f t="shared" si="55"/>
        <v>0</v>
      </c>
      <c r="J119" s="258"/>
    </row>
    <row r="120" spans="1:27" ht="14.45" customHeight="1">
      <c r="A120" s="571"/>
      <c r="B120" s="574"/>
      <c r="C120" s="236"/>
      <c r="D120" s="683">
        <v>0</v>
      </c>
      <c r="E120" s="325"/>
      <c r="F120" s="325"/>
      <c r="G120" s="324"/>
      <c r="H120" s="233">
        <v>0</v>
      </c>
      <c r="I120" s="199">
        <f t="shared" si="55"/>
        <v>0</v>
      </c>
      <c r="J120" s="258"/>
    </row>
    <row r="121" spans="1:27" ht="14.45" customHeight="1">
      <c r="A121" s="571" t="s">
        <v>994</v>
      </c>
      <c r="B121" s="112"/>
      <c r="C121" s="236"/>
      <c r="D121" s="683">
        <v>0</v>
      </c>
      <c r="E121" s="325"/>
      <c r="F121" s="325"/>
      <c r="G121" s="324"/>
      <c r="H121" s="233">
        <v>0</v>
      </c>
      <c r="I121" s="199">
        <f t="shared" si="55"/>
        <v>0</v>
      </c>
      <c r="J121" s="258"/>
    </row>
    <row r="122" spans="1:27" ht="14.45" customHeight="1">
      <c r="A122" s="571" t="s">
        <v>994</v>
      </c>
      <c r="B122" s="112"/>
      <c r="C122" s="236"/>
      <c r="D122" s="683">
        <v>0</v>
      </c>
      <c r="E122" s="325"/>
      <c r="F122" s="325"/>
      <c r="G122" s="324"/>
      <c r="H122" s="233">
        <v>0</v>
      </c>
      <c r="I122" s="199">
        <f>+D122*H122</f>
        <v>0</v>
      </c>
      <c r="J122" s="258"/>
    </row>
    <row r="123" spans="1:27" ht="14.45" customHeight="1" thickBot="1">
      <c r="A123" s="571" t="s">
        <v>994</v>
      </c>
      <c r="B123" s="112"/>
      <c r="C123" s="236"/>
      <c r="D123" s="684">
        <v>0</v>
      </c>
      <c r="E123" s="326"/>
      <c r="F123" s="326"/>
      <c r="G123" s="327"/>
      <c r="H123" s="234">
        <v>0</v>
      </c>
      <c r="I123" s="288">
        <f t="shared" si="55"/>
        <v>0</v>
      </c>
      <c r="J123" s="269"/>
    </row>
    <row r="124" spans="1:27" ht="14.45" customHeight="1" thickBot="1">
      <c r="A124" s="273" t="s">
        <v>1001</v>
      </c>
      <c r="B124" s="274"/>
      <c r="C124" s="329"/>
      <c r="D124" s="685">
        <f>SUM(D112:D123)</f>
        <v>0</v>
      </c>
      <c r="E124" s="329"/>
      <c r="F124" s="329"/>
      <c r="G124" s="328"/>
      <c r="H124" s="275" t="s">
        <v>207</v>
      </c>
      <c r="I124" s="332">
        <f>SUM(I112:I123)</f>
        <v>0</v>
      </c>
      <c r="J124" s="289"/>
    </row>
    <row r="125" spans="1:27" ht="14.45" customHeight="1" thickBot="1">
      <c r="A125" s="676" t="s">
        <v>401</v>
      </c>
      <c r="D125" s="686">
        <f>D110+D124</f>
        <v>0</v>
      </c>
      <c r="J125" s="11"/>
    </row>
    <row r="126" spans="1:27" ht="14.45" customHeight="1">
      <c r="A126" s="1918" t="s">
        <v>274</v>
      </c>
      <c r="B126" s="1919"/>
      <c r="C126" s="1919"/>
      <c r="D126" s="1919"/>
      <c r="E126" s="1919"/>
      <c r="F126" s="1919"/>
      <c r="G126" s="1919"/>
      <c r="H126" s="1919"/>
      <c r="I126" s="1919"/>
      <c r="J126" s="1920"/>
      <c r="AA126" s="552"/>
    </row>
    <row r="127" spans="1:27" ht="14.45" customHeight="1">
      <c r="A127" s="114" t="s">
        <v>16</v>
      </c>
      <c r="J127" s="11"/>
      <c r="AA127" s="267"/>
    </row>
    <row r="128" spans="1:27" ht="14.45" customHeight="1">
      <c r="A128" s="10" t="s">
        <v>875</v>
      </c>
      <c r="J128" s="11"/>
      <c r="AA128" s="267"/>
    </row>
    <row r="129" spans="1:28" ht="14.45" customHeight="1">
      <c r="A129" s="114" t="s">
        <v>157</v>
      </c>
      <c r="J129" s="11"/>
      <c r="AA129" s="267"/>
    </row>
    <row r="130" spans="1:28" ht="5.25" customHeight="1" thickBot="1">
      <c r="A130" s="10"/>
      <c r="J130" s="11"/>
      <c r="AA130" s="267"/>
    </row>
    <row r="131" spans="1:28" ht="14.45" customHeight="1">
      <c r="A131" s="65"/>
      <c r="B131" s="1943" t="s">
        <v>418</v>
      </c>
      <c r="C131" s="1943"/>
      <c r="D131" s="1943"/>
      <c r="E131" s="1943"/>
      <c r="F131" s="1943"/>
      <c r="G131" s="1953"/>
      <c r="H131" s="1948" t="s">
        <v>248</v>
      </c>
      <c r="I131" s="1943"/>
      <c r="J131" s="1944"/>
      <c r="AA131" s="267"/>
    </row>
    <row r="132" spans="1:28" ht="14.45" customHeight="1">
      <c r="A132" s="10"/>
      <c r="B132" s="1950"/>
      <c r="C132" s="1950"/>
      <c r="D132" s="1950"/>
      <c r="E132" s="1950"/>
      <c r="F132" s="1950"/>
      <c r="G132" s="1954"/>
      <c r="H132" s="1949"/>
      <c r="I132" s="1950"/>
      <c r="J132" s="1951"/>
      <c r="AA132" s="267"/>
    </row>
    <row r="133" spans="1:28" ht="14.45" customHeight="1">
      <c r="A133" s="291" t="s">
        <v>318</v>
      </c>
      <c r="B133" s="292" t="s">
        <v>324</v>
      </c>
      <c r="C133" s="293"/>
      <c r="D133" s="293"/>
      <c r="E133" s="293"/>
      <c r="F133" s="293"/>
      <c r="G133" s="294"/>
      <c r="H133" s="1949"/>
      <c r="I133" s="1950"/>
      <c r="J133" s="1951"/>
      <c r="AA133" s="267"/>
    </row>
    <row r="134" spans="1:28" ht="14.45" customHeight="1">
      <c r="A134" s="296" t="s">
        <v>319</v>
      </c>
      <c r="B134" s="641">
        <v>0</v>
      </c>
      <c r="C134" s="641">
        <v>1</v>
      </c>
      <c r="D134" s="641">
        <v>2</v>
      </c>
      <c r="E134" s="641">
        <v>3</v>
      </c>
      <c r="F134" s="641">
        <v>4</v>
      </c>
      <c r="G134" s="642">
        <v>5</v>
      </c>
      <c r="H134" s="1952"/>
      <c r="I134" s="1946"/>
      <c r="J134" s="1947"/>
      <c r="AA134" s="267"/>
    </row>
    <row r="135" spans="1:28" ht="14.45" customHeight="1">
      <c r="A135" s="639">
        <v>0.65</v>
      </c>
      <c r="B135" s="233">
        <v>0</v>
      </c>
      <c r="C135" s="233">
        <v>0</v>
      </c>
      <c r="D135" s="233">
        <v>0</v>
      </c>
      <c r="E135" s="233">
        <v>0</v>
      </c>
      <c r="F135" s="233">
        <v>0</v>
      </c>
      <c r="G135" s="233">
        <v>0</v>
      </c>
      <c r="H135" s="1955"/>
      <c r="I135" s="1956"/>
      <c r="J135" s="1957"/>
      <c r="AA135" s="267"/>
    </row>
    <row r="136" spans="1:28" ht="14.45" customHeight="1">
      <c r="A136" s="639">
        <v>0.6</v>
      </c>
      <c r="B136" s="233">
        <v>0</v>
      </c>
      <c r="C136" s="233">
        <v>0</v>
      </c>
      <c r="D136" s="233">
        <v>0</v>
      </c>
      <c r="E136" s="233">
        <v>0</v>
      </c>
      <c r="F136" s="233">
        <v>0</v>
      </c>
      <c r="G136" s="233">
        <v>0</v>
      </c>
      <c r="H136" s="1958"/>
      <c r="I136" s="1959"/>
      <c r="J136" s="1960"/>
      <c r="AA136" s="267"/>
    </row>
    <row r="137" spans="1:28" ht="14.45" customHeight="1">
      <c r="A137" s="639">
        <v>0.55000000000000004</v>
      </c>
      <c r="B137" s="233">
        <v>0</v>
      </c>
      <c r="C137" s="233">
        <v>0</v>
      </c>
      <c r="D137" s="233">
        <v>0</v>
      </c>
      <c r="E137" s="233">
        <v>0</v>
      </c>
      <c r="F137" s="233">
        <v>0</v>
      </c>
      <c r="G137" s="233">
        <v>0</v>
      </c>
      <c r="H137" s="1958"/>
      <c r="I137" s="1959"/>
      <c r="J137" s="1960"/>
      <c r="AA137" s="267"/>
    </row>
    <row r="138" spans="1:28" ht="14.45" customHeight="1">
      <c r="A138" s="639">
        <v>0.5</v>
      </c>
      <c r="B138" s="233">
        <v>0</v>
      </c>
      <c r="C138" s="233">
        <v>0</v>
      </c>
      <c r="D138" s="233">
        <v>0</v>
      </c>
      <c r="E138" s="233">
        <v>0</v>
      </c>
      <c r="F138" s="233">
        <v>0</v>
      </c>
      <c r="G138" s="233">
        <v>0</v>
      </c>
      <c r="H138" s="1958"/>
      <c r="I138" s="1959"/>
      <c r="J138" s="1960"/>
    </row>
    <row r="139" spans="1:28" ht="14.45" customHeight="1">
      <c r="A139" s="639">
        <v>0.45</v>
      </c>
      <c r="B139" s="233">
        <v>0</v>
      </c>
      <c r="C139" s="233">
        <v>0</v>
      </c>
      <c r="D139" s="233">
        <v>0</v>
      </c>
      <c r="E139" s="233">
        <v>0</v>
      </c>
      <c r="F139" s="233">
        <v>0</v>
      </c>
      <c r="G139" s="233">
        <v>0</v>
      </c>
      <c r="H139" s="1958"/>
      <c r="I139" s="1959"/>
      <c r="J139" s="1960"/>
      <c r="Z139" s="12"/>
      <c r="AA139" s="12"/>
      <c r="AB139" s="12"/>
    </row>
    <row r="140" spans="1:28" ht="14.45" customHeight="1">
      <c r="A140" s="639">
        <v>0.4</v>
      </c>
      <c r="B140" s="233">
        <v>0</v>
      </c>
      <c r="C140" s="233">
        <v>0</v>
      </c>
      <c r="D140" s="233">
        <v>0</v>
      </c>
      <c r="E140" s="233">
        <v>0</v>
      </c>
      <c r="F140" s="233">
        <v>0</v>
      </c>
      <c r="G140" s="233">
        <v>0</v>
      </c>
      <c r="H140" s="1958"/>
      <c r="I140" s="1959"/>
      <c r="J140" s="1960"/>
    </row>
    <row r="141" spans="1:28" ht="14.45" customHeight="1">
      <c r="A141" s="639">
        <v>0.35</v>
      </c>
      <c r="B141" s="233">
        <v>0</v>
      </c>
      <c r="C141" s="233">
        <v>0</v>
      </c>
      <c r="D141" s="233">
        <v>0</v>
      </c>
      <c r="E141" s="233">
        <v>0</v>
      </c>
      <c r="F141" s="233">
        <v>0</v>
      </c>
      <c r="G141" s="233">
        <v>0</v>
      </c>
      <c r="H141" s="1958"/>
      <c r="I141" s="1959"/>
      <c r="J141" s="1960"/>
    </row>
    <row r="142" spans="1:28" ht="14.45" customHeight="1">
      <c r="A142" s="639">
        <v>0.3</v>
      </c>
      <c r="B142" s="233">
        <v>0</v>
      </c>
      <c r="C142" s="233">
        <v>0</v>
      </c>
      <c r="D142" s="233">
        <v>0</v>
      </c>
      <c r="E142" s="233">
        <v>0</v>
      </c>
      <c r="F142" s="233">
        <v>0</v>
      </c>
      <c r="G142" s="233">
        <v>0</v>
      </c>
      <c r="H142" s="1958"/>
      <c r="I142" s="1959"/>
      <c r="J142" s="1960"/>
    </row>
    <row r="143" spans="1:28" ht="14.45" customHeight="1">
      <c r="A143" s="639">
        <v>0.25</v>
      </c>
      <c r="B143" s="233">
        <v>0</v>
      </c>
      <c r="C143" s="233">
        <v>0</v>
      </c>
      <c r="D143" s="233">
        <v>0</v>
      </c>
      <c r="E143" s="233">
        <v>0</v>
      </c>
      <c r="F143" s="233">
        <v>0</v>
      </c>
      <c r="G143" s="233">
        <v>0</v>
      </c>
      <c r="H143" s="1958"/>
      <c r="I143" s="1959"/>
      <c r="J143" s="1960"/>
    </row>
    <row r="144" spans="1:28" ht="14.45" customHeight="1">
      <c r="A144" s="639">
        <v>0.2</v>
      </c>
      <c r="B144" s="233">
        <v>0</v>
      </c>
      <c r="C144" s="233">
        <v>0</v>
      </c>
      <c r="D144" s="233">
        <v>0</v>
      </c>
      <c r="E144" s="233">
        <v>0</v>
      </c>
      <c r="F144" s="233">
        <v>0</v>
      </c>
      <c r="G144" s="233">
        <v>0</v>
      </c>
      <c r="H144" s="1958"/>
      <c r="I144" s="1959"/>
      <c r="J144" s="1960"/>
    </row>
    <row r="145" spans="1:10" ht="14.45" customHeight="1" thickBot="1">
      <c r="A145" s="640">
        <v>0.15</v>
      </c>
      <c r="B145" s="237">
        <v>0</v>
      </c>
      <c r="C145" s="237">
        <v>0</v>
      </c>
      <c r="D145" s="237">
        <v>0</v>
      </c>
      <c r="E145" s="237">
        <v>0</v>
      </c>
      <c r="F145" s="237">
        <v>0</v>
      </c>
      <c r="G145" s="237">
        <v>0</v>
      </c>
      <c r="H145" s="1961"/>
      <c r="I145" s="1962"/>
      <c r="J145" s="1963"/>
    </row>
    <row r="146" spans="1:10" ht="6" customHeight="1" thickBot="1">
      <c r="A146" s="10"/>
      <c r="J146" s="11"/>
    </row>
    <row r="147" spans="1:10" ht="14.45" customHeight="1" thickBot="1">
      <c r="A147" s="298" t="s">
        <v>876</v>
      </c>
      <c r="B147" s="299"/>
      <c r="C147" s="299"/>
      <c r="D147" s="299"/>
      <c r="E147" s="299"/>
      <c r="F147" s="299"/>
      <c r="G147" s="299"/>
      <c r="H147" s="299"/>
      <c r="I147" s="299"/>
      <c r="J147" s="300"/>
    </row>
    <row r="148" spans="1:10" ht="14.45" customHeight="1" thickBot="1">
      <c r="A148" s="10"/>
      <c r="J148" s="11"/>
    </row>
    <row r="149" spans="1:10" ht="14.45" customHeight="1">
      <c r="A149" s="10"/>
      <c r="B149" s="1936" t="s">
        <v>247</v>
      </c>
      <c r="C149" s="1937"/>
      <c r="D149" s="1938"/>
      <c r="F149" s="1942" t="s">
        <v>163</v>
      </c>
      <c r="G149" s="1943"/>
      <c r="H149" s="1944"/>
      <c r="J149" s="11"/>
    </row>
    <row r="150" spans="1:10" ht="14.45" customHeight="1">
      <c r="A150" s="10"/>
      <c r="B150" s="1939"/>
      <c r="C150" s="1940"/>
      <c r="D150" s="1941"/>
      <c r="F150" s="1945"/>
      <c r="G150" s="1946"/>
      <c r="H150" s="1947"/>
      <c r="J150" s="11"/>
    </row>
    <row r="151" spans="1:10" ht="14.45" customHeight="1">
      <c r="A151" s="10"/>
      <c r="B151" s="301"/>
      <c r="C151" s="302"/>
      <c r="D151" s="303" t="s">
        <v>415</v>
      </c>
      <c r="F151" s="301"/>
      <c r="G151" s="302"/>
      <c r="H151" s="303" t="s">
        <v>415</v>
      </c>
      <c r="J151" s="11"/>
    </row>
    <row r="152" spans="1:10" ht="14.45" customHeight="1">
      <c r="A152" s="10"/>
      <c r="B152" s="304" t="s">
        <v>318</v>
      </c>
      <c r="C152" s="305"/>
      <c r="D152" s="306" t="s">
        <v>164</v>
      </c>
      <c r="F152" s="304" t="s">
        <v>161</v>
      </c>
      <c r="G152" s="305"/>
      <c r="H152" s="306" t="s">
        <v>164</v>
      </c>
      <c r="J152" s="11"/>
    </row>
    <row r="153" spans="1:10" ht="14.45" customHeight="1">
      <c r="A153" s="10"/>
      <c r="B153" s="309" t="s">
        <v>319</v>
      </c>
      <c r="C153" s="307" t="s">
        <v>788</v>
      </c>
      <c r="D153" s="308" t="s">
        <v>661</v>
      </c>
      <c r="F153" s="309" t="s">
        <v>162</v>
      </c>
      <c r="G153" s="310" t="s">
        <v>661</v>
      </c>
      <c r="H153" s="308" t="s">
        <v>661</v>
      </c>
      <c r="J153" s="11"/>
    </row>
    <row r="154" spans="1:10" ht="14.45" customHeight="1">
      <c r="A154" s="10"/>
      <c r="B154" s="643">
        <v>0.65</v>
      </c>
      <c r="C154" s="311">
        <f t="shared" ref="C154:C164" si="56">+D154*D$110</f>
        <v>0</v>
      </c>
      <c r="D154" s="312">
        <f t="shared" ref="D154:D164" si="57">SUM(IF(A$18=B154,B$23,0),IF(A$26=B154,B$29,0),IF(A$34=B154,B$37,0),IF(A$42=B154,B$45,0),IF(A$50=B154,B$53,0),IF(A$62=B154,B$65,0),IF(A$70=B154,B$73,0),IF(A$78=B154,B$81,0),IF(A$86=B154,$B$89,0),IF(A$94=B154,$B$97,0),IF(A$102=B154,$B$105))</f>
        <v>0</v>
      </c>
      <c r="F154" s="644" t="s">
        <v>654</v>
      </c>
      <c r="G154" s="311">
        <f>SUMIF($C$18:C$108,$F$154,$D$18:$D$108)</f>
        <v>0</v>
      </c>
      <c r="H154" s="312" t="e">
        <f t="shared" ref="H154:H161" si="58">+G154/G$161</f>
        <v>#DIV/0!</v>
      </c>
      <c r="J154" s="11"/>
    </row>
    <row r="155" spans="1:10" ht="14.45" customHeight="1">
      <c r="A155" s="10"/>
      <c r="B155" s="643">
        <v>0.6</v>
      </c>
      <c r="C155" s="311">
        <f t="shared" si="56"/>
        <v>0</v>
      </c>
      <c r="D155" s="312">
        <f t="shared" si="57"/>
        <v>0</v>
      </c>
      <c r="F155" s="645" t="s">
        <v>145</v>
      </c>
      <c r="G155" s="311">
        <f t="shared" ref="G155:G160" si="59">SUMIF(C$18:C$108,F155,D$18:D$108)</f>
        <v>0</v>
      </c>
      <c r="H155" s="312" t="e">
        <f t="shared" si="58"/>
        <v>#DIV/0!</v>
      </c>
      <c r="J155" s="11"/>
    </row>
    <row r="156" spans="1:10" ht="14.45" customHeight="1">
      <c r="A156" s="10"/>
      <c r="B156" s="643">
        <v>0.55000000000000004</v>
      </c>
      <c r="C156" s="311">
        <f t="shared" si="56"/>
        <v>0</v>
      </c>
      <c r="D156" s="312">
        <f t="shared" si="57"/>
        <v>0</v>
      </c>
      <c r="F156" s="645" t="s">
        <v>146</v>
      </c>
      <c r="G156" s="311">
        <f t="shared" si="59"/>
        <v>0</v>
      </c>
      <c r="H156" s="312" t="e">
        <f t="shared" si="58"/>
        <v>#DIV/0!</v>
      </c>
      <c r="J156" s="11"/>
    </row>
    <row r="157" spans="1:10" ht="14.45" customHeight="1">
      <c r="A157" s="10"/>
      <c r="B157" s="643">
        <v>0.5</v>
      </c>
      <c r="C157" s="311">
        <f t="shared" si="56"/>
        <v>0</v>
      </c>
      <c r="D157" s="312">
        <f t="shared" si="57"/>
        <v>0</v>
      </c>
      <c r="F157" s="645" t="s">
        <v>147</v>
      </c>
      <c r="G157" s="311">
        <f t="shared" si="59"/>
        <v>0</v>
      </c>
      <c r="H157" s="312" t="e">
        <f t="shared" si="58"/>
        <v>#DIV/0!</v>
      </c>
      <c r="J157" s="11"/>
    </row>
    <row r="158" spans="1:10" ht="14.45" customHeight="1">
      <c r="A158" s="10"/>
      <c r="B158" s="643">
        <v>0.45</v>
      </c>
      <c r="C158" s="311">
        <f t="shared" si="56"/>
        <v>0</v>
      </c>
      <c r="D158" s="312">
        <f t="shared" si="57"/>
        <v>0</v>
      </c>
      <c r="F158" s="645" t="s">
        <v>148</v>
      </c>
      <c r="G158" s="311">
        <f t="shared" si="59"/>
        <v>0</v>
      </c>
      <c r="H158" s="312" t="e">
        <f t="shared" si="58"/>
        <v>#DIV/0!</v>
      </c>
      <c r="J158" s="11"/>
    </row>
    <row r="159" spans="1:10" ht="14.45" customHeight="1">
      <c r="A159" s="10"/>
      <c r="B159" s="643">
        <v>0.4</v>
      </c>
      <c r="C159" s="311">
        <f t="shared" si="56"/>
        <v>0</v>
      </c>
      <c r="D159" s="312">
        <f t="shared" si="57"/>
        <v>0</v>
      </c>
      <c r="F159" s="645" t="s">
        <v>149</v>
      </c>
      <c r="G159" s="311">
        <f t="shared" si="59"/>
        <v>0</v>
      </c>
      <c r="H159" s="312" t="e">
        <f t="shared" si="58"/>
        <v>#DIV/0!</v>
      </c>
      <c r="J159" s="11"/>
    </row>
    <row r="160" spans="1:10" ht="14.45" customHeight="1">
      <c r="A160" s="10"/>
      <c r="B160" s="643">
        <v>0.35</v>
      </c>
      <c r="C160" s="311">
        <f t="shared" si="56"/>
        <v>0</v>
      </c>
      <c r="D160" s="312">
        <f t="shared" si="57"/>
        <v>0</v>
      </c>
      <c r="F160" s="645" t="s">
        <v>150</v>
      </c>
      <c r="G160" s="313">
        <f t="shared" si="59"/>
        <v>0</v>
      </c>
      <c r="H160" s="312" t="e">
        <f t="shared" si="58"/>
        <v>#DIV/0!</v>
      </c>
      <c r="J160" s="11"/>
    </row>
    <row r="161" spans="1:10" ht="14.45" customHeight="1" thickBot="1">
      <c r="A161" s="10"/>
      <c r="B161" s="643">
        <v>0.3</v>
      </c>
      <c r="C161" s="311">
        <f t="shared" si="56"/>
        <v>0</v>
      </c>
      <c r="D161" s="312">
        <f t="shared" si="57"/>
        <v>0</v>
      </c>
      <c r="F161" s="314" t="s">
        <v>165</v>
      </c>
      <c r="G161" s="315">
        <f>SUM(G154:G160)</f>
        <v>0</v>
      </c>
      <c r="H161" s="316" t="e">
        <f t="shared" si="58"/>
        <v>#DIV/0!</v>
      </c>
      <c r="J161" s="11"/>
    </row>
    <row r="162" spans="1:10" ht="14.45" customHeight="1">
      <c r="A162" s="10"/>
      <c r="B162" s="643">
        <v>0.25</v>
      </c>
      <c r="C162" s="311">
        <f t="shared" si="56"/>
        <v>0</v>
      </c>
      <c r="D162" s="312">
        <f t="shared" si="57"/>
        <v>0</v>
      </c>
      <c r="J162" s="11"/>
    </row>
    <row r="163" spans="1:10" ht="14.45" customHeight="1">
      <c r="A163" s="10"/>
      <c r="B163" s="643">
        <v>0.2</v>
      </c>
      <c r="C163" s="311">
        <f t="shared" si="56"/>
        <v>0</v>
      </c>
      <c r="D163" s="312">
        <f t="shared" si="57"/>
        <v>0</v>
      </c>
      <c r="J163" s="11"/>
    </row>
    <row r="164" spans="1:10" ht="14.45" customHeight="1">
      <c r="A164" s="10"/>
      <c r="B164" s="643">
        <v>0.15</v>
      </c>
      <c r="C164" s="311">
        <f t="shared" si="56"/>
        <v>0</v>
      </c>
      <c r="D164" s="312">
        <f t="shared" si="57"/>
        <v>0</v>
      </c>
      <c r="J164" s="11"/>
    </row>
    <row r="165" spans="1:10" ht="14.45" customHeight="1" thickBot="1">
      <c r="A165" s="10"/>
      <c r="B165" s="317" t="s">
        <v>165</v>
      </c>
      <c r="C165" s="318">
        <f>SUM(C154:C164)</f>
        <v>0</v>
      </c>
      <c r="D165" s="319">
        <f>SUM(D154:D164)</f>
        <v>0</v>
      </c>
      <c r="J165" s="11"/>
    </row>
    <row r="166" spans="1:10" ht="14.45" customHeight="1" thickBot="1">
      <c r="A166" s="321"/>
      <c r="B166" s="19"/>
      <c r="C166" s="19"/>
      <c r="D166" s="19"/>
      <c r="E166" s="19"/>
      <c r="F166" s="19"/>
      <c r="G166" s="19"/>
      <c r="H166" s="567" t="str">
        <f>'General '!AI11</f>
        <v>UA Version 5/8/19</v>
      </c>
      <c r="I166" s="19"/>
      <c r="J166" s="20"/>
    </row>
    <row r="167" spans="1:10">
      <c r="A167" s="297"/>
    </row>
    <row r="168" spans="1:10">
      <c r="A168" s="297"/>
    </row>
    <row r="169" spans="1:10">
      <c r="A169" s="297"/>
    </row>
    <row r="170" spans="1:10">
      <c r="A170" s="297"/>
    </row>
    <row r="171" spans="1:10">
      <c r="A171" s="297"/>
    </row>
    <row r="172" spans="1:10">
      <c r="A172" s="297"/>
    </row>
    <row r="173" spans="1:10">
      <c r="A173" s="320"/>
    </row>
  </sheetData>
  <sheetProtection password="C9E9" sheet="1" objects="1" scenarios="1"/>
  <mergeCells count="33">
    <mergeCell ref="J14:J17"/>
    <mergeCell ref="E14:E17"/>
    <mergeCell ref="I58:I61"/>
    <mergeCell ref="J58:J61"/>
    <mergeCell ref="G14:G17"/>
    <mergeCell ref="G58:G61"/>
    <mergeCell ref="E58:E61"/>
    <mergeCell ref="D58:D61"/>
    <mergeCell ref="F58:F61"/>
    <mergeCell ref="A14:A17"/>
    <mergeCell ref="B14:B17"/>
    <mergeCell ref="I14:I17"/>
    <mergeCell ref="B149:D150"/>
    <mergeCell ref="F149:H150"/>
    <mergeCell ref="H131:J134"/>
    <mergeCell ref="B131:G132"/>
    <mergeCell ref="H135:J145"/>
    <mergeCell ref="A12:J13"/>
    <mergeCell ref="A112:B112"/>
    <mergeCell ref="A126:J126"/>
    <mergeCell ref="A1:J1"/>
    <mergeCell ref="A2:J2"/>
    <mergeCell ref="A58:A61"/>
    <mergeCell ref="B58:B61"/>
    <mergeCell ref="C58:C61"/>
    <mergeCell ref="A3:J3"/>
    <mergeCell ref="H14:H17"/>
    <mergeCell ref="E4:F4"/>
    <mergeCell ref="D14:D17"/>
    <mergeCell ref="A19:B21"/>
    <mergeCell ref="F14:F17"/>
    <mergeCell ref="H58:H61"/>
    <mergeCell ref="C14:C17"/>
  </mergeCells>
  <phoneticPr fontId="17" type="noConversion"/>
  <conditionalFormatting sqref="C154:D165 G154:H161">
    <cfRule type="cellIs" dxfId="92" priority="6" stopIfTrue="1" operator="greaterThan">
      <formula>0</formula>
    </cfRule>
  </conditionalFormatting>
  <conditionalFormatting sqref="A18">
    <cfRule type="expression" dxfId="91" priority="5">
      <formula>$A$12&lt;&gt;""</formula>
    </cfRule>
  </conditionalFormatting>
  <conditionalFormatting sqref="A26">
    <cfRule type="expression" dxfId="90" priority="4">
      <formula>$A$12&lt;&gt;""</formula>
    </cfRule>
  </conditionalFormatting>
  <conditionalFormatting sqref="A34">
    <cfRule type="expression" dxfId="89" priority="3">
      <formula>$A$12&lt;&gt;""</formula>
    </cfRule>
  </conditionalFormatting>
  <conditionalFormatting sqref="A42">
    <cfRule type="expression" dxfId="88" priority="2">
      <formula>$A$12&lt;&gt;""</formula>
    </cfRule>
  </conditionalFormatting>
  <conditionalFormatting sqref="A50">
    <cfRule type="expression" dxfId="87" priority="1">
      <formula>$A$12&lt;&gt;""</formula>
    </cfRule>
  </conditionalFormatting>
  <dataValidations count="4">
    <dataValidation type="list" allowBlank="1" showInputMessage="1" showErrorMessage="1" sqref="A18 A102 A94 A86 A78 A70 A62 A50 A42 A34 A26">
      <formula1>Income_Limit</formula1>
    </dataValidation>
    <dataValidation type="list" allowBlank="1" showInputMessage="1" showErrorMessage="1" sqref="B18 B102 B94 B86 B78 B70 B62 B50 B42 B34 B26">
      <formula1>Rent_Limit</formula1>
    </dataValidation>
    <dataValidation type="list" allowBlank="1" showInputMessage="1" showErrorMessage="1" sqref="C112:C123">
      <formula1>Beds</formula1>
    </dataValidation>
    <dataValidation type="date" operator="greaterThan" allowBlank="1" showInputMessage="1" showErrorMessage="1" errorTitle="Need Application Date" error="Your entry must be a date after January 1, 2006." promptTitle="Date of Application or Update" prompt="Enter the date of this application or application update." sqref="K1:Q1">
      <formula1>38718</formula1>
    </dataValidation>
  </dataValidations>
  <hyperlinks>
    <hyperlink ref="D11" location="B131:J141" display="click here "/>
  </hyperlinks>
  <printOptions horizontalCentered="1"/>
  <pageMargins left="0.5" right="0" top="0.5" bottom="0.3" header="0" footer="0"/>
  <pageSetup scale="87" firstPageNumber="10" fitToHeight="3" orientation="portrait" horizontalDpi="525" verticalDpi="525" r:id="rId1"/>
  <headerFooter scaleWithDoc="0" alignWithMargins="0">
    <oddFooter>&amp;C&amp;9Page &amp;P of &amp;N&amp;R&amp;"Arial,Italic"&amp;9Universal Application - &amp;A</oddFooter>
  </headerFooter>
  <rowBreaks count="2" manualBreakCount="2">
    <brk id="57" max="9" man="1"/>
    <brk id="111" max="9" man="1"/>
  </row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tabColor theme="4" tint="0.59999389629810485"/>
  </sheetPr>
  <dimension ref="A1:AD53"/>
  <sheetViews>
    <sheetView zoomScaleNormal="100" workbookViewId="0">
      <selection activeCell="D11" sqref="D11"/>
    </sheetView>
  </sheetViews>
  <sheetFormatPr defaultColWidth="9.140625" defaultRowHeight="12.75"/>
  <cols>
    <col min="1" max="1" width="11" customWidth="1"/>
    <col min="2" max="2" width="12.140625" customWidth="1"/>
    <col min="3" max="3" width="9.28515625" bestFit="1" customWidth="1"/>
    <col min="4" max="4" width="12.28515625" customWidth="1"/>
    <col min="5" max="5" width="10.5703125" customWidth="1"/>
    <col min="6" max="6" width="10.42578125" customWidth="1"/>
    <col min="7" max="7" width="9.85546875" bestFit="1" customWidth="1"/>
    <col min="8" max="8" width="10.42578125" customWidth="1"/>
    <col min="9" max="9" width="10.5703125" customWidth="1"/>
    <col min="10" max="10" width="10.140625" customWidth="1"/>
    <col min="11" max="11" width="1.7109375" customWidth="1"/>
    <col min="12" max="21" width="10" customWidth="1"/>
  </cols>
  <sheetData>
    <row r="1" spans="1:30" s="16" customFormat="1" ht="17.25" customHeight="1">
      <c r="A1" s="1977">
        <f>'General '!A45</f>
        <v>0</v>
      </c>
      <c r="B1" s="1978"/>
      <c r="C1" s="1978"/>
      <c r="D1" s="1978"/>
      <c r="E1" s="1978"/>
      <c r="F1" s="1978"/>
      <c r="G1" s="1978"/>
      <c r="H1" s="1978"/>
      <c r="I1" s="1978"/>
      <c r="J1" s="1979"/>
      <c r="K1" s="883"/>
      <c r="L1" s="229"/>
      <c r="M1" s="229"/>
      <c r="N1" s="229"/>
      <c r="O1" s="229"/>
      <c r="P1" s="229"/>
      <c r="Q1" s="229"/>
      <c r="R1" s="229"/>
      <c r="S1" s="229"/>
      <c r="T1" s="229"/>
      <c r="U1" s="229"/>
      <c r="V1" s="229"/>
      <c r="W1" s="229"/>
      <c r="X1" s="229"/>
      <c r="Y1" s="229"/>
      <c r="Z1" s="229"/>
      <c r="AA1" s="509"/>
      <c r="AB1" s="73"/>
      <c r="AC1" s="73"/>
      <c r="AD1" s="73"/>
    </row>
    <row r="2" spans="1:30" s="16" customFormat="1" ht="33" customHeight="1">
      <c r="A2" s="1983" t="s">
        <v>1074</v>
      </c>
      <c r="B2" s="1984"/>
      <c r="C2" s="1984"/>
      <c r="D2" s="1984"/>
      <c r="E2" s="1984"/>
      <c r="F2" s="1984"/>
      <c r="G2" s="1984"/>
      <c r="H2" s="1984"/>
      <c r="I2" s="1984"/>
      <c r="J2" s="1985"/>
      <c r="K2" s="242"/>
      <c r="L2" s="242"/>
      <c r="M2" s="242"/>
      <c r="N2" s="242"/>
      <c r="O2" s="242"/>
      <c r="P2" s="242"/>
      <c r="Q2" s="242"/>
      <c r="R2" s="242"/>
      <c r="S2" s="242"/>
      <c r="T2" s="242"/>
      <c r="U2" s="242"/>
      <c r="V2" s="242"/>
      <c r="W2" s="242"/>
      <c r="X2" s="242"/>
      <c r="Y2" s="242"/>
      <c r="Z2" s="242"/>
      <c r="AA2" s="242"/>
    </row>
    <row r="3" spans="1:30" ht="77.25" customHeight="1">
      <c r="A3" s="1986"/>
      <c r="B3" s="1987"/>
      <c r="C3" s="1987"/>
      <c r="D3" s="1987"/>
      <c r="E3" s="1987"/>
      <c r="F3" s="1987"/>
      <c r="G3" s="1987"/>
      <c r="H3" s="1987"/>
      <c r="I3" s="1987"/>
      <c r="J3" s="1988"/>
    </row>
    <row r="4" spans="1:30" ht="12.95" customHeight="1">
      <c r="A4" s="1967" t="s">
        <v>229</v>
      </c>
      <c r="B4" s="1925" t="s">
        <v>329</v>
      </c>
      <c r="C4" s="1925" t="s">
        <v>179</v>
      </c>
      <c r="D4" s="1980" t="s">
        <v>1075</v>
      </c>
      <c r="E4" s="1925" t="s">
        <v>197</v>
      </c>
      <c r="F4" s="1925" t="s">
        <v>144</v>
      </c>
      <c r="G4" s="1925" t="s">
        <v>795</v>
      </c>
      <c r="H4" s="1925" t="s">
        <v>796</v>
      </c>
      <c r="I4" s="1925" t="s">
        <v>273</v>
      </c>
      <c r="J4" s="1968" t="s">
        <v>30</v>
      </c>
    </row>
    <row r="5" spans="1:30" ht="12.95" customHeight="1">
      <c r="A5" s="1922"/>
      <c r="B5" s="1930"/>
      <c r="C5" s="1930"/>
      <c r="D5" s="1981"/>
      <c r="E5" s="1930"/>
      <c r="F5" s="1930"/>
      <c r="G5" s="1930"/>
      <c r="H5" s="1930"/>
      <c r="I5" s="1930"/>
      <c r="J5" s="1969"/>
    </row>
    <row r="6" spans="1:30" ht="12.95" customHeight="1">
      <c r="A6" s="1922"/>
      <c r="B6" s="1930"/>
      <c r="C6" s="1930"/>
      <c r="D6" s="1981"/>
      <c r="E6" s="1930"/>
      <c r="F6" s="1930"/>
      <c r="G6" s="1930"/>
      <c r="H6" s="1930"/>
      <c r="I6" s="1930"/>
      <c r="J6" s="1969"/>
    </row>
    <row r="7" spans="1:30" ht="12.95" customHeight="1">
      <c r="A7" s="1922"/>
      <c r="B7" s="1930"/>
      <c r="C7" s="1931"/>
      <c r="D7" s="1982"/>
      <c r="E7" s="1931"/>
      <c r="F7" s="1931"/>
      <c r="G7" s="1931"/>
      <c r="H7" s="1931"/>
      <c r="I7" s="1931"/>
      <c r="J7" s="1970"/>
    </row>
    <row r="8" spans="1:30" ht="12.75" customHeight="1">
      <c r="A8" s="801" t="str">
        <f>IF('Rents '!A18="","",'Rents '!A18)</f>
        <v/>
      </c>
      <c r="B8" s="802" t="str">
        <f>IF('Rents '!B18="","",'Rents '!B18)</f>
        <v/>
      </c>
      <c r="C8" s="257" t="s">
        <v>654</v>
      </c>
      <c r="D8" s="232">
        <v>0</v>
      </c>
      <c r="E8" s="881">
        <v>0</v>
      </c>
      <c r="F8" s="881">
        <v>0</v>
      </c>
      <c r="G8" s="881">
        <v>0</v>
      </c>
      <c r="H8" s="880">
        <f>'Rents '!H18</f>
        <v>0</v>
      </c>
      <c r="I8" s="238" t="str">
        <f t="shared" ref="I8:I14" si="0">IF(D8&gt;0,+H8*D8," ")</f>
        <v xml:space="preserve"> </v>
      </c>
      <c r="J8" s="258" t="str">
        <f t="shared" ref="J8:J14" si="1">IF(D8&gt;0,G8*D8," ")</f>
        <v xml:space="preserve"> </v>
      </c>
    </row>
    <row r="9" spans="1:30" ht="12.75" customHeight="1">
      <c r="A9" s="647"/>
      <c r="B9" s="648"/>
      <c r="C9" s="260" t="s">
        <v>145</v>
      </c>
      <c r="D9" s="232">
        <v>0</v>
      </c>
      <c r="E9" s="238" t="str">
        <f>IF(D9=0," ",IF($B$8="TCAC",VLOOKUP($A$8,TCACrents,2,FALSE),IF($B$8="CalHFA",VLOOKUP($A$8,CalHFArents,2,FALSE),VLOOKUP($A$8,Otherrents,2,FALSE))))</f>
        <v xml:space="preserve"> </v>
      </c>
      <c r="F9" s="239" t="str">
        <f>IF(D9&gt;0,-Misc.!$X$49," ")</f>
        <v xml:space="preserve"> </v>
      </c>
      <c r="G9" s="238" t="str">
        <f t="shared" ref="G9:G14" si="2">IF(D9&gt;0,SUM(E9:F9)," ")</f>
        <v xml:space="preserve"> </v>
      </c>
      <c r="H9" s="880">
        <f>'Rents '!H19</f>
        <v>0</v>
      </c>
      <c r="I9" s="238" t="str">
        <f t="shared" si="0"/>
        <v xml:space="preserve"> </v>
      </c>
      <c r="J9" s="258" t="str">
        <f t="shared" si="1"/>
        <v xml:space="preserve"> </v>
      </c>
    </row>
    <row r="10" spans="1:30" ht="12.75" customHeight="1">
      <c r="A10" s="571" t="s">
        <v>413</v>
      </c>
      <c r="B10" s="261"/>
      <c r="C10" s="260" t="s">
        <v>146</v>
      </c>
      <c r="D10" s="232">
        <v>0</v>
      </c>
      <c r="E10" s="238" t="str">
        <f>IF(D10=0," ",IF($B$8="TCAC",VLOOKUP($A$8,TCACrents,3,FALSE),IF($B$8="CalHFA",VLOOKUP($A$8,CalHFArents,3,FALSE),VLOOKUP($A$8,Otherrents,3,FALSE))))</f>
        <v xml:space="preserve"> </v>
      </c>
      <c r="F10" s="239" t="str">
        <f>IF(D10&gt;0,-Misc.!$AA$49," ")</f>
        <v xml:space="preserve"> </v>
      </c>
      <c r="G10" s="238" t="str">
        <f t="shared" si="2"/>
        <v xml:space="preserve"> </v>
      </c>
      <c r="H10" s="880">
        <f>'Rents '!H20</f>
        <v>0</v>
      </c>
      <c r="I10" s="238" t="str">
        <f t="shared" si="0"/>
        <v xml:space="preserve"> </v>
      </c>
      <c r="J10" s="258" t="str">
        <f t="shared" si="1"/>
        <v xml:space="preserve"> </v>
      </c>
    </row>
    <row r="11" spans="1:30" ht="12.75" customHeight="1">
      <c r="A11" s="571" t="s">
        <v>414</v>
      </c>
      <c r="B11" s="572" t="e">
        <f>+D15/D$48</f>
        <v>#DIV/0!</v>
      </c>
      <c r="C11" s="260" t="s">
        <v>147</v>
      </c>
      <c r="D11" s="232">
        <v>0</v>
      </c>
      <c r="E11" s="238" t="str">
        <f>IF(D11=0," ",IF($B$8="TCAC",VLOOKUP($A$8,TCACrents,4,FALSE),IF($B$8="CalHFA",VLOOKUP($A$8,CalHFArents,4,FALSE),VLOOKUP($A$8,Otherrents,4,FALSE))))</f>
        <v xml:space="preserve"> </v>
      </c>
      <c r="F11" s="239" t="str">
        <f>IF(D11&gt;0,-Misc.!$AD$49," ")</f>
        <v xml:space="preserve"> </v>
      </c>
      <c r="G11" s="238" t="str">
        <f t="shared" si="2"/>
        <v xml:space="preserve"> </v>
      </c>
      <c r="H11" s="880">
        <f>'Rents '!H21</f>
        <v>0</v>
      </c>
      <c r="I11" s="238" t="str">
        <f t="shared" si="0"/>
        <v xml:space="preserve"> </v>
      </c>
      <c r="J11" s="258" t="str">
        <f t="shared" si="1"/>
        <v xml:space="preserve"> </v>
      </c>
      <c r="W11" s="551"/>
      <c r="X11" s="14"/>
      <c r="Y11" s="551"/>
      <c r="Z11" s="14"/>
      <c r="AA11" s="14"/>
    </row>
    <row r="12" spans="1:30" ht="12.75" customHeight="1">
      <c r="A12" s="10"/>
      <c r="C12" s="260" t="s">
        <v>148</v>
      </c>
      <c r="D12" s="232">
        <v>0</v>
      </c>
      <c r="E12" s="238" t="str">
        <f>IF(D12=0," ",IF($B$8="TCAC",VLOOKUP($A$8,TCACrents,5,FALSE),IF($B$8="CalHFA",VLOOKUP($A$8,CalHFArents,5,FALSE),VLOOKUP($A$8,Otherrents,5,FALSE))))</f>
        <v xml:space="preserve"> </v>
      </c>
      <c r="F12" s="239" t="str">
        <f>IF(D12&gt;0,-Misc.!$AG$49," ")</f>
        <v xml:space="preserve"> </v>
      </c>
      <c r="G12" s="238" t="str">
        <f t="shared" si="2"/>
        <v xml:space="preserve"> </v>
      </c>
      <c r="H12" s="880">
        <f>'Rents '!H22</f>
        <v>0</v>
      </c>
      <c r="I12" s="238" t="str">
        <f t="shared" si="0"/>
        <v xml:space="preserve"> </v>
      </c>
      <c r="J12" s="258" t="str">
        <f t="shared" si="1"/>
        <v xml:space="preserve"> </v>
      </c>
      <c r="W12" s="123"/>
    </row>
    <row r="13" spans="1:30" ht="12.75" customHeight="1">
      <c r="A13" s="10"/>
      <c r="C13" s="260" t="s">
        <v>149</v>
      </c>
      <c r="D13" s="232">
        <v>0</v>
      </c>
      <c r="E13" s="238" t="str">
        <f>IF(D13=0," ",IF($B$8="TCAC",VLOOKUP($A$8,TCACrents,6,FALSE),IF($B$8="CalHFA",VLOOKUP($A$8,CalHFArents,6,FALSE),VLOOKUP($A$8,Otherrents,6,FALSE))))</f>
        <v xml:space="preserve"> </v>
      </c>
      <c r="F13" s="239" t="str">
        <f>IF(D13&gt;0,-Misc.!$AJ$49," ")</f>
        <v xml:space="preserve"> </v>
      </c>
      <c r="G13" s="238" t="str">
        <f t="shared" si="2"/>
        <v xml:space="preserve"> </v>
      </c>
      <c r="H13" s="880">
        <f>'Rents '!H23</f>
        <v>0</v>
      </c>
      <c r="I13" s="238" t="str">
        <f t="shared" si="0"/>
        <v xml:space="preserve"> </v>
      </c>
      <c r="J13" s="258" t="str">
        <f t="shared" si="1"/>
        <v xml:space="preserve"> </v>
      </c>
      <c r="W13" s="123"/>
    </row>
    <row r="14" spans="1:30" ht="12.75" customHeight="1" thickBot="1">
      <c r="A14" s="264"/>
      <c r="B14" s="112"/>
      <c r="C14" s="268" t="s">
        <v>150</v>
      </c>
      <c r="D14" s="232">
        <v>0</v>
      </c>
      <c r="E14" s="240" t="str">
        <f>IF(D14=0," ",IF($B$8="TCAC",VLOOKUP($A$8,TCACrents,7,FALSE),IF($B$8="CalHFA",VLOOKUP($A$8,CalHFArents,7,FALSE),VLOOKUP($A$8,Otherrents,7,FALSE))))</f>
        <v xml:space="preserve"> </v>
      </c>
      <c r="F14" s="241" t="str">
        <f>IF(D14&gt;0,-Misc.!$AM$49," ")</f>
        <v xml:space="preserve"> </v>
      </c>
      <c r="G14" s="240" t="str">
        <f t="shared" si="2"/>
        <v xml:space="preserve"> </v>
      </c>
      <c r="H14" s="880">
        <f>'Rents '!H24</f>
        <v>0</v>
      </c>
      <c r="I14" s="240" t="str">
        <f t="shared" si="0"/>
        <v xml:space="preserve"> </v>
      </c>
      <c r="J14" s="269" t="str">
        <f t="shared" si="1"/>
        <v xml:space="preserve"> </v>
      </c>
      <c r="W14" s="123"/>
    </row>
    <row r="15" spans="1:30" ht="12.75" customHeight="1" thickBot="1">
      <c r="A15" s="273"/>
      <c r="B15" s="274"/>
      <c r="C15" s="274"/>
      <c r="D15" s="328">
        <f>SUM(D8:D14)</f>
        <v>0</v>
      </c>
      <c r="E15" s="275" t="s">
        <v>801</v>
      </c>
      <c r="F15" s="329"/>
      <c r="G15" s="329"/>
      <c r="H15" s="329"/>
      <c r="I15" s="330">
        <f>SUM(I8:I14)</f>
        <v>0</v>
      </c>
      <c r="J15" s="331">
        <f>SUM(J8:J14)</f>
        <v>0</v>
      </c>
      <c r="W15" s="123"/>
    </row>
    <row r="16" spans="1:30" ht="12.75" customHeight="1">
      <c r="A16" s="801" t="str">
        <f>IF('Rents '!A26="","",'Rents '!A26)</f>
        <v/>
      </c>
      <c r="B16" s="802" t="str">
        <f>IF('Rents '!B26="","",'Rents '!B26)</f>
        <v/>
      </c>
      <c r="C16" s="276" t="s">
        <v>654</v>
      </c>
      <c r="D16" s="232">
        <v>0</v>
      </c>
      <c r="E16" s="881">
        <v>0</v>
      </c>
      <c r="F16" s="881">
        <v>0</v>
      </c>
      <c r="G16" s="881">
        <v>0</v>
      </c>
      <c r="H16" s="880">
        <f>'Rents '!H26</f>
        <v>0</v>
      </c>
      <c r="I16" s="277" t="str">
        <f t="shared" ref="I16:I22" si="3">IF(D16&gt;0,+H16*D16," ")</f>
        <v xml:space="preserve"> </v>
      </c>
      <c r="J16" s="278" t="str">
        <f t="shared" ref="J16:J22" si="4">IF(D16&gt;0,G16*D16," ")</f>
        <v xml:space="preserve"> </v>
      </c>
      <c r="W16" s="123"/>
    </row>
    <row r="17" spans="1:23" ht="12.75" customHeight="1">
      <c r="A17" s="259"/>
      <c r="B17" s="112"/>
      <c r="C17" s="260" t="s">
        <v>145</v>
      </c>
      <c r="D17" s="232">
        <v>0</v>
      </c>
      <c r="E17" s="238" t="str">
        <f>IF(D17=0," ",IF($B$16="TCAC",VLOOKUP($A$16,TCACrents,2,FALSE),IF($B$16="CalHFA",VLOOKUP($A$16,CalHFArents,2,FALSE),VLOOKUP($A$16,Otherrents,2,FALSE))))</f>
        <v xml:space="preserve"> </v>
      </c>
      <c r="F17" s="239" t="str">
        <f>IF(D17&gt;0,-Misc.!$X$49," ")</f>
        <v xml:space="preserve"> </v>
      </c>
      <c r="G17" s="238" t="str">
        <f t="shared" ref="G17:G22" si="5">IF(D17&gt;0,SUM(E17:F17)," ")</f>
        <v xml:space="preserve"> </v>
      </c>
      <c r="H17" s="880">
        <f>'Rents '!H27</f>
        <v>0</v>
      </c>
      <c r="I17" s="238" t="str">
        <f t="shared" si="3"/>
        <v xml:space="preserve"> </v>
      </c>
      <c r="J17" s="258" t="str">
        <f t="shared" si="4"/>
        <v xml:space="preserve"> </v>
      </c>
      <c r="W17" s="123"/>
    </row>
    <row r="18" spans="1:23" ht="12.75" customHeight="1">
      <c r="A18" s="571" t="s">
        <v>413</v>
      </c>
      <c r="B18" s="261"/>
      <c r="C18" s="260" t="s">
        <v>146</v>
      </c>
      <c r="D18" s="232">
        <v>0</v>
      </c>
      <c r="E18" s="238" t="str">
        <f>IF(D18=0," ",IF($B$16="TCAC",VLOOKUP($A$16,TCACrents,3,FALSE),IF($B$16="CalHFA",VLOOKUP($A$16,CalHFArents,3,FALSE),VLOOKUP($A$16,Otherrents,3,FALSE))))</f>
        <v xml:space="preserve"> </v>
      </c>
      <c r="F18" s="239" t="str">
        <f>IF(D18&gt;0,-Misc.!$AA$49," ")</f>
        <v xml:space="preserve"> </v>
      </c>
      <c r="G18" s="238" t="str">
        <f t="shared" si="5"/>
        <v xml:space="preserve"> </v>
      </c>
      <c r="H18" s="880">
        <f>'Rents '!H28</f>
        <v>0</v>
      </c>
      <c r="I18" s="238" t="str">
        <f t="shared" si="3"/>
        <v xml:space="preserve"> </v>
      </c>
      <c r="J18" s="258" t="str">
        <f t="shared" si="4"/>
        <v xml:space="preserve"> </v>
      </c>
      <c r="W18" s="123"/>
    </row>
    <row r="19" spans="1:23" ht="12.75" customHeight="1">
      <c r="A19" s="571" t="s">
        <v>414</v>
      </c>
      <c r="B19" s="572" t="e">
        <f>+D23/D$48</f>
        <v>#DIV/0!</v>
      </c>
      <c r="C19" s="260" t="s">
        <v>147</v>
      </c>
      <c r="D19" s="232">
        <v>0</v>
      </c>
      <c r="E19" s="238" t="str">
        <f>IF(D19=0," ",IF($B$16="TCAC",VLOOKUP($A$16,TCACrents,4,FALSE),IF($B$16="CalHFA",VLOOKUP($A$16,CalHFArents,4,FALSE),VLOOKUP($A$16,Otherrents,4,FALSE))))</f>
        <v xml:space="preserve"> </v>
      </c>
      <c r="F19" s="239" t="str">
        <f>IF(D19&gt;0,-Misc.!$AD$49," ")</f>
        <v xml:space="preserve"> </v>
      </c>
      <c r="G19" s="238" t="str">
        <f t="shared" si="5"/>
        <v xml:space="preserve"> </v>
      </c>
      <c r="H19" s="880">
        <f>'Rents '!H29</f>
        <v>0</v>
      </c>
      <c r="I19" s="238" t="str">
        <f t="shared" si="3"/>
        <v xml:space="preserve"> </v>
      </c>
      <c r="J19" s="258" t="str">
        <f t="shared" si="4"/>
        <v xml:space="preserve"> </v>
      </c>
      <c r="W19" s="123"/>
    </row>
    <row r="20" spans="1:23" ht="12.75" customHeight="1">
      <c r="A20" s="264"/>
      <c r="B20" s="112"/>
      <c r="C20" s="260" t="s">
        <v>148</v>
      </c>
      <c r="D20" s="232">
        <v>0</v>
      </c>
      <c r="E20" s="238" t="str">
        <f>IF(D20=0," ",IF($B$16="TCAC",VLOOKUP($A$16,TCACrents,5,FALSE),IF($B$16="CalHFA",VLOOKUP($A$16,CalHFArents,5,FALSE),VLOOKUP($A$16,Otherrents,5,FALSE))))</f>
        <v xml:space="preserve"> </v>
      </c>
      <c r="F20" s="239" t="str">
        <f>IF(D20&gt;0,-Misc.!$AG$49," ")</f>
        <v xml:space="preserve"> </v>
      </c>
      <c r="G20" s="238" t="str">
        <f t="shared" si="5"/>
        <v xml:space="preserve"> </v>
      </c>
      <c r="H20" s="880">
        <f>'Rents '!H30</f>
        <v>0</v>
      </c>
      <c r="I20" s="238" t="str">
        <f t="shared" si="3"/>
        <v xml:space="preserve"> </v>
      </c>
      <c r="J20" s="258" t="str">
        <f t="shared" si="4"/>
        <v xml:space="preserve"> </v>
      </c>
      <c r="W20" s="123"/>
    </row>
    <row r="21" spans="1:23" ht="12.75" customHeight="1">
      <c r="A21" s="264"/>
      <c r="B21" s="112"/>
      <c r="C21" s="260" t="s">
        <v>149</v>
      </c>
      <c r="D21" s="232">
        <v>0</v>
      </c>
      <c r="E21" s="238" t="str">
        <f>IF(D21=0," ",IF($B$16="TCAC",VLOOKUP($A$16,TCACrents,6,FALSE),IF($B$16="CalHFA",VLOOKUP($A$16,CalHFArents,6,FALSE),VLOOKUP($A$16,Otherrents,6,FALSE))))</f>
        <v xml:space="preserve"> </v>
      </c>
      <c r="F21" s="239" t="str">
        <f>IF(D21&gt;0,-Misc.!$AJ$49," ")</f>
        <v xml:space="preserve"> </v>
      </c>
      <c r="G21" s="238" t="str">
        <f t="shared" si="5"/>
        <v xml:space="preserve"> </v>
      </c>
      <c r="H21" s="880">
        <f>'Rents '!H31</f>
        <v>0</v>
      </c>
      <c r="I21" s="238" t="str">
        <f t="shared" si="3"/>
        <v xml:space="preserve"> </v>
      </c>
      <c r="J21" s="258" t="str">
        <f t="shared" si="4"/>
        <v xml:space="preserve"> </v>
      </c>
      <c r="W21" s="123"/>
    </row>
    <row r="22" spans="1:23" ht="12.75" customHeight="1" thickBot="1">
      <c r="A22" s="264"/>
      <c r="B22" s="112"/>
      <c r="C22" s="268" t="s">
        <v>150</v>
      </c>
      <c r="D22" s="232">
        <v>0</v>
      </c>
      <c r="E22" s="240" t="str">
        <f>IF(D22=0," ",IF($B$16="TCAC",VLOOKUP($A$16,TCACrents,7,FALSE),IF($B$16="CalHFA",VLOOKUP($A$16,CalHFArents,7,FALSE),VLOOKUP($A$16,Otherrents,7,FALSE))))</f>
        <v xml:space="preserve"> </v>
      </c>
      <c r="F22" s="241" t="str">
        <f>IF(D22&gt;0,-Misc.!$AM$49," ")</f>
        <v xml:space="preserve"> </v>
      </c>
      <c r="G22" s="240" t="str">
        <f t="shared" si="5"/>
        <v xml:space="preserve"> </v>
      </c>
      <c r="H22" s="880">
        <f>'Rents '!H32</f>
        <v>0</v>
      </c>
      <c r="I22" s="240" t="str">
        <f t="shared" si="3"/>
        <v xml:space="preserve"> </v>
      </c>
      <c r="J22" s="269" t="str">
        <f t="shared" si="4"/>
        <v xml:space="preserve"> </v>
      </c>
      <c r="W22" s="123"/>
    </row>
    <row r="23" spans="1:23" ht="12.75" customHeight="1" thickBot="1">
      <c r="A23" s="273"/>
      <c r="B23" s="274"/>
      <c r="C23" s="274"/>
      <c r="D23" s="328">
        <f>SUM(D16:D22)</f>
        <v>0</v>
      </c>
      <c r="E23" s="275" t="s">
        <v>801</v>
      </c>
      <c r="F23" s="329"/>
      <c r="G23" s="329"/>
      <c r="H23" s="329"/>
      <c r="I23" s="330">
        <f>SUM(I16:I22)</f>
        <v>0</v>
      </c>
      <c r="J23" s="331">
        <f>SUM(J16:J22)</f>
        <v>0</v>
      </c>
      <c r="W23" s="123"/>
    </row>
    <row r="24" spans="1:23" ht="12.75" customHeight="1">
      <c r="A24" s="801" t="str">
        <f>IF('Rents '!A34="","",'Rents '!A34)</f>
        <v/>
      </c>
      <c r="B24" s="802" t="str">
        <f>IF('Rents '!B34="","",'Rents '!B34)</f>
        <v/>
      </c>
      <c r="C24" s="276" t="s">
        <v>654</v>
      </c>
      <c r="D24" s="232">
        <v>0</v>
      </c>
      <c r="E24" s="233">
        <v>0</v>
      </c>
      <c r="F24" s="233">
        <v>0</v>
      </c>
      <c r="G24" s="233">
        <v>0</v>
      </c>
      <c r="H24" s="880">
        <f>'Rents '!H34</f>
        <v>0</v>
      </c>
      <c r="I24" s="277" t="str">
        <f t="shared" ref="I24:I30" si="6">IF(D24&gt;0,+H24*D24," ")</f>
        <v xml:space="preserve"> </v>
      </c>
      <c r="J24" s="278" t="str">
        <f t="shared" ref="J24:J30" si="7">IF(D24&gt;0,G24*D24," ")</f>
        <v xml:space="preserve"> </v>
      </c>
    </row>
    <row r="25" spans="1:23" ht="12.75" customHeight="1">
      <c r="A25" s="259"/>
      <c r="B25" s="112"/>
      <c r="C25" s="260" t="s">
        <v>145</v>
      </c>
      <c r="D25" s="232">
        <v>0</v>
      </c>
      <c r="E25" s="238" t="str">
        <f>IF(D25=0," ",IF($B$24="TCAC",VLOOKUP($A$24,TCACrents,2,FALSE),IF($B$24="CalHFA",VLOOKUP($A$24,CalHFArents,2,FALSE),VLOOKUP($A$24,Otherrents,2,FALSE))))</f>
        <v xml:space="preserve"> </v>
      </c>
      <c r="F25" s="239" t="str">
        <f>IF(D25&gt;0,-Misc.!$X$49," ")</f>
        <v xml:space="preserve"> </v>
      </c>
      <c r="G25" s="238" t="str">
        <f t="shared" ref="G25:G30" si="8">IF(D25&gt;0,SUM(E25:F25)," ")</f>
        <v xml:space="preserve"> </v>
      </c>
      <c r="H25" s="880">
        <f>'Rents '!H35</f>
        <v>0</v>
      </c>
      <c r="I25" s="238" t="str">
        <f t="shared" si="6"/>
        <v xml:space="preserve"> </v>
      </c>
      <c r="J25" s="258" t="str">
        <f t="shared" si="7"/>
        <v xml:space="preserve"> </v>
      </c>
    </row>
    <row r="26" spans="1:23" ht="12.75" customHeight="1">
      <c r="A26" s="571" t="s">
        <v>413</v>
      </c>
      <c r="B26" s="261"/>
      <c r="C26" s="260" t="s">
        <v>146</v>
      </c>
      <c r="D26" s="232">
        <v>0</v>
      </c>
      <c r="E26" s="238" t="str">
        <f>IF(D26=0," ",IF($B$24="TCAC",VLOOKUP($A$24,TCACrents,3,FALSE),IF($B$24="CalHFA",VLOOKUP($A$24,CalHFArents,3,FALSE),VLOOKUP($A$24,Otherrents,3,FALSE))))</f>
        <v xml:space="preserve"> </v>
      </c>
      <c r="F26" s="239" t="str">
        <f>IF(D26&gt;0,-Misc.!$AA$49," ")</f>
        <v xml:space="preserve"> </v>
      </c>
      <c r="G26" s="238" t="str">
        <f t="shared" si="8"/>
        <v xml:space="preserve"> </v>
      </c>
      <c r="H26" s="880">
        <f>'Rents '!H36</f>
        <v>0</v>
      </c>
      <c r="I26" s="238" t="str">
        <f t="shared" si="6"/>
        <v xml:space="preserve"> </v>
      </c>
      <c r="J26" s="258" t="str">
        <f t="shared" si="7"/>
        <v xml:space="preserve"> </v>
      </c>
    </row>
    <row r="27" spans="1:23" ht="12.75" customHeight="1">
      <c r="A27" s="571" t="s">
        <v>414</v>
      </c>
      <c r="B27" s="572" t="e">
        <f>+D31/D$48</f>
        <v>#DIV/0!</v>
      </c>
      <c r="C27" s="260" t="s">
        <v>147</v>
      </c>
      <c r="D27" s="232">
        <v>0</v>
      </c>
      <c r="E27" s="238" t="str">
        <f>IF(D27=0," ",IF($B$24="TCAC",VLOOKUP($A$24,TCACrents,4,FALSE),IF($B$24="CalHFA",VLOOKUP($A$24,CalHFArents,4,FALSE),VLOOKUP($A$24,Otherrents,4,FALSE))))</f>
        <v xml:space="preserve"> </v>
      </c>
      <c r="F27" s="239" t="str">
        <f>IF(D27&gt;0,-Misc.!$AD$49," ")</f>
        <v xml:space="preserve"> </v>
      </c>
      <c r="G27" s="238" t="str">
        <f t="shared" si="8"/>
        <v xml:space="preserve"> </v>
      </c>
      <c r="H27" s="880">
        <f>'Rents '!H37</f>
        <v>0</v>
      </c>
      <c r="I27" s="238" t="str">
        <f t="shared" si="6"/>
        <v xml:space="preserve"> </v>
      </c>
      <c r="J27" s="258" t="str">
        <f t="shared" si="7"/>
        <v xml:space="preserve"> </v>
      </c>
    </row>
    <row r="28" spans="1:23" ht="12.75" customHeight="1">
      <c r="A28" s="264"/>
      <c r="B28" s="112"/>
      <c r="C28" s="260" t="s">
        <v>148</v>
      </c>
      <c r="D28" s="232">
        <v>0</v>
      </c>
      <c r="E28" s="238" t="str">
        <f>IF(D28=0," ",IF($B$24="TCAC",VLOOKUP($A$24,TCACrents,5,FALSE),IF($B$24="CalHFA",VLOOKUP($A$24,CalHFArents,5,FALSE),VLOOKUP($A$24,Otherrents,5,FALSE))))</f>
        <v xml:space="preserve"> </v>
      </c>
      <c r="F28" s="239" t="str">
        <f>IF(D28&gt;0,-Misc.!$AG$49," ")</f>
        <v xml:space="preserve"> </v>
      </c>
      <c r="G28" s="238" t="str">
        <f t="shared" si="8"/>
        <v xml:space="preserve"> </v>
      </c>
      <c r="H28" s="880">
        <f>'Rents '!H38</f>
        <v>0</v>
      </c>
      <c r="I28" s="238" t="str">
        <f t="shared" si="6"/>
        <v xml:space="preserve"> </v>
      </c>
      <c r="J28" s="258" t="str">
        <f t="shared" si="7"/>
        <v xml:space="preserve"> </v>
      </c>
    </row>
    <row r="29" spans="1:23" ht="12.75" customHeight="1">
      <c r="A29" s="264"/>
      <c r="B29" s="112"/>
      <c r="C29" s="260" t="s">
        <v>149</v>
      </c>
      <c r="D29" s="232">
        <v>0</v>
      </c>
      <c r="E29" s="238" t="str">
        <f>IF(D29=0," ",IF($B$24="TCAC",VLOOKUP($A$24,TCACrents,6,FALSE),IF($B$24="CalHFA",VLOOKUP($A$24,CalHFArents,6,FALSE),VLOOKUP($A$24,Otherrents,6,FALSE))))</f>
        <v xml:space="preserve"> </v>
      </c>
      <c r="F29" s="239" t="str">
        <f>IF(D29&gt;0,-Misc.!$AJ$49," ")</f>
        <v xml:space="preserve"> </v>
      </c>
      <c r="G29" s="238" t="str">
        <f t="shared" si="8"/>
        <v xml:space="preserve"> </v>
      </c>
      <c r="H29" s="880">
        <f>'Rents '!H39</f>
        <v>0</v>
      </c>
      <c r="I29" s="238" t="str">
        <f t="shared" si="6"/>
        <v xml:space="preserve"> </v>
      </c>
      <c r="J29" s="258" t="str">
        <f t="shared" si="7"/>
        <v xml:space="preserve"> </v>
      </c>
    </row>
    <row r="30" spans="1:23" ht="12.75" customHeight="1" thickBot="1">
      <c r="A30" s="264"/>
      <c r="B30" s="112"/>
      <c r="C30" s="268" t="s">
        <v>150</v>
      </c>
      <c r="D30" s="232">
        <v>0</v>
      </c>
      <c r="E30" s="240" t="str">
        <f>IF(D30=0," ",IF($B$24="TCAC",VLOOKUP($A$24,TCACrents,7,FALSE),IF($B$24="CalHFA",VLOOKUP($A$24,CalHFArents,7,FALSE),VLOOKUP($A$24,Otherrents,7,FALSE))))</f>
        <v xml:space="preserve"> </v>
      </c>
      <c r="F30" s="241" t="str">
        <f>IF(D30&gt;0,-Misc.!$AM$49," ")</f>
        <v xml:space="preserve"> </v>
      </c>
      <c r="G30" s="240" t="str">
        <f t="shared" si="8"/>
        <v xml:space="preserve"> </v>
      </c>
      <c r="H30" s="880">
        <f>'Rents '!H40</f>
        <v>0</v>
      </c>
      <c r="I30" s="240" t="str">
        <f t="shared" si="6"/>
        <v xml:space="preserve"> </v>
      </c>
      <c r="J30" s="269" t="str">
        <f t="shared" si="7"/>
        <v xml:space="preserve"> </v>
      </c>
    </row>
    <row r="31" spans="1:23" ht="12.75" customHeight="1" thickBot="1">
      <c r="A31" s="273"/>
      <c r="B31" s="274"/>
      <c r="C31" s="274"/>
      <c r="D31" s="328">
        <f>SUM(D24:D30)</f>
        <v>0</v>
      </c>
      <c r="E31" s="275" t="s">
        <v>801</v>
      </c>
      <c r="F31" s="329"/>
      <c r="G31" s="329"/>
      <c r="H31" s="329"/>
      <c r="I31" s="330">
        <f>SUM(I24:I30)</f>
        <v>0</v>
      </c>
      <c r="J31" s="331">
        <f>SUM(J24:J30)</f>
        <v>0</v>
      </c>
    </row>
    <row r="32" spans="1:23" ht="12.75" customHeight="1">
      <c r="A32" s="801" t="str">
        <f>IF('Rents '!A42="","",'Rents '!A42)</f>
        <v/>
      </c>
      <c r="B32" s="802" t="str">
        <f>IF('Rents '!B42="","",'Rents '!B42)</f>
        <v/>
      </c>
      <c r="C32" s="276" t="s">
        <v>654</v>
      </c>
      <c r="D32" s="232">
        <v>0</v>
      </c>
      <c r="E32" s="882">
        <v>0</v>
      </c>
      <c r="F32" s="882">
        <v>0</v>
      </c>
      <c r="G32" s="882">
        <v>0</v>
      </c>
      <c r="H32" s="880">
        <f>'Rents '!H42</f>
        <v>0</v>
      </c>
      <c r="I32" s="277" t="str">
        <f t="shared" ref="I32:I38" si="9">IF(D32&gt;0,+H32*D32," ")</f>
        <v xml:space="preserve"> </v>
      </c>
      <c r="J32" s="278" t="str">
        <f t="shared" ref="J32:J38" si="10">IF(D32&gt;0,G32*D32," ")</f>
        <v xml:space="preserve"> </v>
      </c>
    </row>
    <row r="33" spans="1:20" ht="12.75" customHeight="1">
      <c r="A33" s="259"/>
      <c r="B33" s="112"/>
      <c r="C33" s="260" t="s">
        <v>145</v>
      </c>
      <c r="D33" s="232">
        <v>0</v>
      </c>
      <c r="E33" s="238" t="str">
        <f>IF(D33=0," ",IF($B$32="TCAC",VLOOKUP($A$32,TCACrents,2,FALSE),IF($B$32="CalHFA",VLOOKUP($A$32,CalHFArents,2,FALSE),VLOOKUP($A$32,Otherrents,2,FALSE))))</f>
        <v xml:space="preserve"> </v>
      </c>
      <c r="F33" s="239" t="str">
        <f>IF(D33&gt;0,-Misc.!$X$49," ")</f>
        <v xml:space="preserve"> </v>
      </c>
      <c r="G33" s="238" t="str">
        <f t="shared" ref="G33:G38" si="11">IF(D33&gt;0,SUM(E33:F33)," ")</f>
        <v xml:space="preserve"> </v>
      </c>
      <c r="H33" s="880">
        <f>'Rents '!H43</f>
        <v>0</v>
      </c>
      <c r="I33" s="238" t="str">
        <f t="shared" si="9"/>
        <v xml:space="preserve"> </v>
      </c>
      <c r="J33" s="258" t="str">
        <f t="shared" si="10"/>
        <v xml:space="preserve"> </v>
      </c>
      <c r="S33" s="112"/>
      <c r="T33" s="112"/>
    </row>
    <row r="34" spans="1:20" ht="12.75" customHeight="1">
      <c r="A34" s="571" t="s">
        <v>413</v>
      </c>
      <c r="B34" s="261"/>
      <c r="C34" s="260" t="s">
        <v>146</v>
      </c>
      <c r="D34" s="232">
        <v>0</v>
      </c>
      <c r="E34" s="238" t="str">
        <f>IF(D34=0," ",IF($B$32="TCAC",VLOOKUP($A$32,TCACrents,3,FALSE),IF($B$32="CalHFA",VLOOKUP($A$32,CalHFArents,3,FALSE),VLOOKUP($A$32,Otherrents,3,FALSE))))</f>
        <v xml:space="preserve"> </v>
      </c>
      <c r="F34" s="239" t="str">
        <f>IF(D34&gt;0,-Misc.!$AA$49," ")</f>
        <v xml:space="preserve"> </v>
      </c>
      <c r="G34" s="238" t="str">
        <f t="shared" si="11"/>
        <v xml:space="preserve"> </v>
      </c>
      <c r="H34" s="880">
        <f>'Rents '!H44</f>
        <v>0</v>
      </c>
      <c r="I34" s="238" t="str">
        <f t="shared" si="9"/>
        <v xml:space="preserve"> </v>
      </c>
      <c r="J34" s="258" t="str">
        <f t="shared" si="10"/>
        <v xml:space="preserve"> </v>
      </c>
      <c r="S34" s="112"/>
      <c r="T34" s="112"/>
    </row>
    <row r="35" spans="1:20" ht="12.75" customHeight="1">
      <c r="A35" s="571" t="s">
        <v>414</v>
      </c>
      <c r="B35" s="572" t="e">
        <f>+D39/D$48</f>
        <v>#DIV/0!</v>
      </c>
      <c r="C35" s="260" t="s">
        <v>147</v>
      </c>
      <c r="D35" s="232">
        <v>0</v>
      </c>
      <c r="E35" s="238" t="str">
        <f>IF(D35=0," ",IF($B$32="TCAC",VLOOKUP($A$32,TCACrents,4,FALSE),IF($B$32="CalHFA",VLOOKUP($A$32,CalHFArents,4,FALSE),VLOOKUP($A$32,Otherrents,4,FALSE))))</f>
        <v xml:space="preserve"> </v>
      </c>
      <c r="F35" s="239" t="str">
        <f>IF(D35&gt;0,-Misc.!$AD$49," ")</f>
        <v xml:space="preserve"> </v>
      </c>
      <c r="G35" s="238" t="str">
        <f t="shared" si="11"/>
        <v xml:space="preserve"> </v>
      </c>
      <c r="H35" s="880">
        <f>'Rents '!H45</f>
        <v>0</v>
      </c>
      <c r="I35" s="238" t="str">
        <f t="shared" si="9"/>
        <v xml:space="preserve"> </v>
      </c>
      <c r="J35" s="258" t="str">
        <f t="shared" si="10"/>
        <v xml:space="preserve"> </v>
      </c>
      <c r="T35" s="112"/>
    </row>
    <row r="36" spans="1:20" ht="12.75" customHeight="1">
      <c r="A36" s="264"/>
      <c r="B36" s="112"/>
      <c r="C36" s="260" t="s">
        <v>148</v>
      </c>
      <c r="D36" s="232">
        <v>0</v>
      </c>
      <c r="E36" s="238" t="str">
        <f>IF(D36=0," ",IF($B$32="TCAC",VLOOKUP($A$32,TCACrents,5,FALSE),IF($B$32="CalHFA",VLOOKUP($A$32,CalHFArents,5,FALSE),VLOOKUP($A$32,Otherrents,5,FALSE))))</f>
        <v xml:space="preserve"> </v>
      </c>
      <c r="F36" s="239" t="str">
        <f>IF(D36&gt;0,-Misc.!$AG$49," ")</f>
        <v xml:space="preserve"> </v>
      </c>
      <c r="G36" s="238" t="str">
        <f t="shared" si="11"/>
        <v xml:space="preserve"> </v>
      </c>
      <c r="H36" s="880">
        <f>'Rents '!H46</f>
        <v>0</v>
      </c>
      <c r="I36" s="238" t="str">
        <f t="shared" si="9"/>
        <v xml:space="preserve"> </v>
      </c>
      <c r="J36" s="258" t="str">
        <f t="shared" si="10"/>
        <v xml:space="preserve"> </v>
      </c>
      <c r="T36" s="112"/>
    </row>
    <row r="37" spans="1:20" ht="12.75" customHeight="1">
      <c r="A37" s="264"/>
      <c r="B37" s="112"/>
      <c r="C37" s="260" t="s">
        <v>149</v>
      </c>
      <c r="D37" s="232">
        <v>0</v>
      </c>
      <c r="E37" s="238" t="str">
        <f>IF(D37=0," ",IF($B$32="TCAC",VLOOKUP($A$32,TCACrents,6,FALSE),IF($B$32="CalHFA",VLOOKUP($A$32,CalHFArents,6,FALSE),VLOOKUP($A$32,Otherrents,6,FALSE))))</f>
        <v xml:space="preserve"> </v>
      </c>
      <c r="F37" s="239" t="str">
        <f>IF(D37&gt;0,-Misc.!$AJ$49," ")</f>
        <v xml:space="preserve"> </v>
      </c>
      <c r="G37" s="238" t="str">
        <f t="shared" si="11"/>
        <v xml:space="preserve"> </v>
      </c>
      <c r="H37" s="880">
        <f>'Rents '!H47</f>
        <v>0</v>
      </c>
      <c r="I37" s="238" t="str">
        <f t="shared" si="9"/>
        <v xml:space="preserve"> </v>
      </c>
      <c r="J37" s="258" t="str">
        <f t="shared" si="10"/>
        <v xml:space="preserve"> </v>
      </c>
      <c r="T37" s="112"/>
    </row>
    <row r="38" spans="1:20" ht="12.75" customHeight="1" thickBot="1">
      <c r="A38" s="264"/>
      <c r="B38" s="112"/>
      <c r="C38" s="268" t="s">
        <v>150</v>
      </c>
      <c r="D38" s="232">
        <v>0</v>
      </c>
      <c r="E38" s="240" t="str">
        <f>IF(D38=0," ",IF($B$32="TCAC",VLOOKUP($A$32,TCACrents,7,FALSE),IF($B$32="CalHFA",VLOOKUP($A$32,CalHFArents,7,FALSE),VLOOKUP($A$32,Otherrents,7,FALSE))))</f>
        <v xml:space="preserve"> </v>
      </c>
      <c r="F38" s="241" t="str">
        <f>IF(D38&gt;0,-Misc.!$AM$49," ")</f>
        <v xml:space="preserve"> </v>
      </c>
      <c r="G38" s="240" t="str">
        <f t="shared" si="11"/>
        <v xml:space="preserve"> </v>
      </c>
      <c r="H38" s="880">
        <f>'Rents '!H48</f>
        <v>0</v>
      </c>
      <c r="I38" s="240" t="str">
        <f t="shared" si="9"/>
        <v xml:space="preserve"> </v>
      </c>
      <c r="J38" s="269" t="str">
        <f t="shared" si="10"/>
        <v xml:space="preserve"> </v>
      </c>
      <c r="T38" s="112"/>
    </row>
    <row r="39" spans="1:20" ht="12.75" customHeight="1" thickBot="1">
      <c r="A39" s="273"/>
      <c r="B39" s="274"/>
      <c r="C39" s="274"/>
      <c r="D39" s="328">
        <f>SUM(D32:D38)</f>
        <v>0</v>
      </c>
      <c r="E39" s="275" t="s">
        <v>801</v>
      </c>
      <c r="F39" s="329"/>
      <c r="G39" s="329"/>
      <c r="H39" s="329"/>
      <c r="I39" s="330">
        <f>SUM(I32:I38)</f>
        <v>0</v>
      </c>
      <c r="J39" s="331">
        <f>SUM(J32:J38)</f>
        <v>0</v>
      </c>
      <c r="T39" s="112"/>
    </row>
    <row r="40" spans="1:20" ht="12.75" customHeight="1">
      <c r="A40" s="801" t="str">
        <f>IF('Rents '!A50="","",'Rents '!A50)</f>
        <v/>
      </c>
      <c r="B40" s="802" t="str">
        <f>IF('Rents '!B50="","",'Rents '!B50)</f>
        <v/>
      </c>
      <c r="C40" s="276" t="s">
        <v>654</v>
      </c>
      <c r="D40" s="232">
        <v>0</v>
      </c>
      <c r="E40" s="881">
        <v>0</v>
      </c>
      <c r="F40" s="881">
        <v>0</v>
      </c>
      <c r="G40" s="881">
        <v>0</v>
      </c>
      <c r="H40" s="880">
        <f>'Rents '!H50</f>
        <v>0</v>
      </c>
      <c r="I40" s="277" t="str">
        <f t="shared" ref="I40:I46" si="12">IF(D40&gt;0,+H40*D40," ")</f>
        <v xml:space="preserve"> </v>
      </c>
      <c r="J40" s="278" t="str">
        <f t="shared" ref="J40:J46" si="13">IF(D40&gt;0,G40*D40," ")</f>
        <v xml:space="preserve"> </v>
      </c>
      <c r="T40" s="112"/>
    </row>
    <row r="41" spans="1:20" ht="12.75" customHeight="1">
      <c r="A41" s="259"/>
      <c r="B41" s="112"/>
      <c r="C41" s="260" t="s">
        <v>145</v>
      </c>
      <c r="D41" s="232">
        <v>0</v>
      </c>
      <c r="E41" s="238" t="str">
        <f>IF(D41=0," ",IF($B$40="TCAC",VLOOKUP($A$40,TCACrents,2,FALSE),IF($B$40="CalHFA",VLOOKUP($A$40,CalHFArents,2,FALSE),VLOOKUP($A$40,Otherrents,2,FALSE))))</f>
        <v xml:space="preserve"> </v>
      </c>
      <c r="F41" s="239" t="str">
        <f>IF(D41&gt;0,-Misc.!$X$49," ")</f>
        <v xml:space="preserve"> </v>
      </c>
      <c r="G41" s="238" t="str">
        <f t="shared" ref="G41:G46" si="14">IF(D41&gt;0,SUM(E41:F41)," ")</f>
        <v xml:space="preserve"> </v>
      </c>
      <c r="H41" s="880">
        <f>'Rents '!H51</f>
        <v>0</v>
      </c>
      <c r="I41" s="238" t="str">
        <f t="shared" si="12"/>
        <v xml:space="preserve"> </v>
      </c>
      <c r="J41" s="258" t="str">
        <f t="shared" si="13"/>
        <v xml:space="preserve"> </v>
      </c>
      <c r="T41" s="112"/>
    </row>
    <row r="42" spans="1:20" ht="12.75" customHeight="1">
      <c r="A42" s="571" t="s">
        <v>413</v>
      </c>
      <c r="B42" s="261"/>
      <c r="C42" s="260" t="s">
        <v>146</v>
      </c>
      <c r="D42" s="232">
        <v>0</v>
      </c>
      <c r="E42" s="238" t="str">
        <f>IF(D42=0," ",IF($B$40="TCAC",VLOOKUP($A$40,TCACrents,3,FALSE),IF($B$40="CalHFA",VLOOKUP($A$40,CalHFArents,3,FALSE),VLOOKUP($A$40,Otherrents,3,FALSE))))</f>
        <v xml:space="preserve"> </v>
      </c>
      <c r="F42" s="239" t="str">
        <f>IF(D42&gt;0,-Misc.!$AA$49," ")</f>
        <v xml:space="preserve"> </v>
      </c>
      <c r="G42" s="238" t="str">
        <f t="shared" si="14"/>
        <v xml:space="preserve"> </v>
      </c>
      <c r="H42" s="880">
        <f>'Rents '!H52</f>
        <v>0</v>
      </c>
      <c r="I42" s="238" t="str">
        <f t="shared" si="12"/>
        <v xml:space="preserve"> </v>
      </c>
      <c r="J42" s="258" t="str">
        <f t="shared" si="13"/>
        <v xml:space="preserve"> </v>
      </c>
      <c r="T42" s="112"/>
    </row>
    <row r="43" spans="1:20" ht="12.75" customHeight="1">
      <c r="A43" s="571" t="s">
        <v>414</v>
      </c>
      <c r="B43" s="572" t="e">
        <f>+D47/D$48</f>
        <v>#DIV/0!</v>
      </c>
      <c r="C43" s="260" t="s">
        <v>147</v>
      </c>
      <c r="D43" s="232">
        <v>0</v>
      </c>
      <c r="E43" s="238" t="str">
        <f>IF(D43=0," ",IF($B$40="TCAC",VLOOKUP($A$40,TCACrents,4,FALSE),IF($B$40="CalHFA",VLOOKUP($A$40,CalHFArents,4,FALSE),VLOOKUP($A$40,Otherrents,4,FALSE))))</f>
        <v xml:space="preserve"> </v>
      </c>
      <c r="F43" s="239" t="str">
        <f>IF(D43&gt;0,-Misc.!$AD$49," ")</f>
        <v xml:space="preserve"> </v>
      </c>
      <c r="G43" s="238" t="str">
        <f t="shared" si="14"/>
        <v xml:space="preserve"> </v>
      </c>
      <c r="H43" s="880">
        <f>'Rents '!H53</f>
        <v>0</v>
      </c>
      <c r="I43" s="238" t="str">
        <f t="shared" si="12"/>
        <v xml:space="preserve"> </v>
      </c>
      <c r="J43" s="258" t="str">
        <f t="shared" si="13"/>
        <v xml:space="preserve"> </v>
      </c>
      <c r="T43" s="112"/>
    </row>
    <row r="44" spans="1:20" ht="12.75" customHeight="1">
      <c r="A44" s="264"/>
      <c r="B44" s="112"/>
      <c r="C44" s="260" t="s">
        <v>148</v>
      </c>
      <c r="D44" s="232">
        <v>0</v>
      </c>
      <c r="E44" s="238" t="str">
        <f>IF(D44=0," ",IF($B$40="TCAC",VLOOKUP($A$40,TCACrents,5,FALSE),IF($B$40="CalHFA",VLOOKUP($A$40,CalHFArents,5,FALSE),VLOOKUP($A$40,Otherrents,5,FALSE))))</f>
        <v xml:space="preserve"> </v>
      </c>
      <c r="F44" s="239" t="str">
        <f>IF(D44&gt;0,-Misc.!$AG$49," ")</f>
        <v xml:space="preserve"> </v>
      </c>
      <c r="G44" s="238" t="str">
        <f t="shared" si="14"/>
        <v xml:space="preserve"> </v>
      </c>
      <c r="H44" s="880">
        <f>'Rents '!H54</f>
        <v>0</v>
      </c>
      <c r="I44" s="238" t="str">
        <f t="shared" si="12"/>
        <v xml:space="preserve"> </v>
      </c>
      <c r="J44" s="258" t="str">
        <f t="shared" si="13"/>
        <v xml:space="preserve"> </v>
      </c>
      <c r="T44" s="112"/>
    </row>
    <row r="45" spans="1:20" ht="12.75" customHeight="1">
      <c r="A45" s="264"/>
      <c r="B45" s="112"/>
      <c r="C45" s="260" t="s">
        <v>149</v>
      </c>
      <c r="D45" s="232">
        <v>0</v>
      </c>
      <c r="E45" s="238" t="str">
        <f>IF(D45=0," ",IF($B$40="TCAC",VLOOKUP($A$40,TCACrents,6,FALSE),IF($B$40="CalHFA",VLOOKUP($A$40,CalHFArents,6,FALSE),VLOOKUP($A$40,Otherrents,6,FALSE))))</f>
        <v xml:space="preserve"> </v>
      </c>
      <c r="F45" s="239" t="str">
        <f>IF(D45&gt;0,-Misc.!$AJ$49," ")</f>
        <v xml:space="preserve"> </v>
      </c>
      <c r="G45" s="238" t="str">
        <f t="shared" si="14"/>
        <v xml:space="preserve"> </v>
      </c>
      <c r="H45" s="880">
        <f>'Rents '!H55</f>
        <v>0</v>
      </c>
      <c r="I45" s="238" t="str">
        <f t="shared" si="12"/>
        <v xml:space="preserve"> </v>
      </c>
      <c r="J45" s="258" t="str">
        <f t="shared" si="13"/>
        <v xml:space="preserve"> </v>
      </c>
      <c r="T45" s="112"/>
    </row>
    <row r="46" spans="1:20" ht="12.75" customHeight="1" thickBot="1">
      <c r="A46" s="264"/>
      <c r="B46" s="112"/>
      <c r="C46" s="268" t="s">
        <v>150</v>
      </c>
      <c r="D46" s="232">
        <v>0</v>
      </c>
      <c r="E46" s="240" t="str">
        <f>IF(D46=0," ",IF($B$40="TCAC",VLOOKUP($A$40,TCACrents,7,FALSE),IF($B$40="CalHFA",VLOOKUP($A$40,CalHFArents,7,FALSE),VLOOKUP($A$40,Otherrents,7,FALSE))))</f>
        <v xml:space="preserve"> </v>
      </c>
      <c r="F46" s="241" t="str">
        <f>IF(D46&gt;0,-Misc.!$AM$49," ")</f>
        <v xml:space="preserve"> </v>
      </c>
      <c r="G46" s="240" t="str">
        <f t="shared" si="14"/>
        <v xml:space="preserve"> </v>
      </c>
      <c r="H46" s="880">
        <f>'Rents '!H56</f>
        <v>0</v>
      </c>
      <c r="I46" s="240" t="str">
        <f t="shared" si="12"/>
        <v xml:space="preserve"> </v>
      </c>
      <c r="J46" s="269" t="str">
        <f t="shared" si="13"/>
        <v xml:space="preserve"> </v>
      </c>
      <c r="S46" s="112"/>
      <c r="T46" s="112"/>
    </row>
    <row r="47" spans="1:20" ht="12.75" customHeight="1" thickBot="1">
      <c r="A47" s="273"/>
      <c r="B47" s="274"/>
      <c r="C47" s="274"/>
      <c r="D47" s="328">
        <f>SUM(D40:D46)</f>
        <v>0</v>
      </c>
      <c r="E47" s="275" t="s">
        <v>801</v>
      </c>
      <c r="F47" s="329"/>
      <c r="G47" s="329"/>
      <c r="H47" s="329"/>
      <c r="I47" s="330">
        <f>SUM(I40:I46)</f>
        <v>0</v>
      </c>
      <c r="J47" s="331">
        <f>SUM(J40:J46)</f>
        <v>0</v>
      </c>
      <c r="S47" s="112"/>
      <c r="T47" s="112"/>
    </row>
    <row r="48" spans="1:20" ht="12.75" customHeight="1" thickBot="1">
      <c r="A48" s="273" t="s">
        <v>1076</v>
      </c>
      <c r="B48" s="274"/>
      <c r="C48" s="274"/>
      <c r="D48" s="328">
        <f>D15+D23+D31+D39+D47</f>
        <v>0</v>
      </c>
      <c r="E48" s="275" t="s">
        <v>208</v>
      </c>
      <c r="F48" s="649"/>
      <c r="G48" s="329"/>
      <c r="H48" s="329"/>
      <c r="I48" s="330">
        <f>+I15+I23+I31+I39+I47</f>
        <v>0</v>
      </c>
      <c r="J48" s="591">
        <f>+J15+J23+J31+J39+J47</f>
        <v>0</v>
      </c>
      <c r="S48" s="112"/>
      <c r="T48" s="112"/>
    </row>
    <row r="49" spans="1:1">
      <c r="A49" s="297"/>
    </row>
    <row r="50" spans="1:1">
      <c r="A50" s="297"/>
    </row>
    <row r="51" spans="1:1">
      <c r="A51" s="297"/>
    </row>
    <row r="52" spans="1:1">
      <c r="A52" s="297"/>
    </row>
    <row r="53" spans="1:1">
      <c r="A53" s="320"/>
    </row>
  </sheetData>
  <sheetProtection password="C9E9" sheet="1" objects="1" scenarios="1"/>
  <mergeCells count="12">
    <mergeCell ref="E4:E7"/>
    <mergeCell ref="F4:F7"/>
    <mergeCell ref="G4:G7"/>
    <mergeCell ref="A1:J1"/>
    <mergeCell ref="H4:H7"/>
    <mergeCell ref="I4:I7"/>
    <mergeCell ref="J4:J7"/>
    <mergeCell ref="A4:A7"/>
    <mergeCell ref="B4:B7"/>
    <mergeCell ref="C4:C7"/>
    <mergeCell ref="D4:D7"/>
    <mergeCell ref="A2:J3"/>
  </mergeCells>
  <conditionalFormatting sqref="D8:D14">
    <cfRule type="expression" dxfId="86" priority="12">
      <formula>(OR($A$8="",$A$8=80%,$A$8=70%,$A$8=65%,$A$8=60%,$A$8=55%,$A$8=50%,$A$8=45%,$A$8=40%,$A$8=35%))</formula>
    </cfRule>
  </conditionalFormatting>
  <conditionalFormatting sqref="E8:G8">
    <cfRule type="expression" dxfId="85" priority="10">
      <formula>(OR($A$8="",$A$8=80%,$A$8=70%,$A$8=65%,$A$8=60%,$A$8=55%,$A$8=50%,$A$8=45%,$A$8=40%,$A$8=35%))</formula>
    </cfRule>
  </conditionalFormatting>
  <conditionalFormatting sqref="D16:D22">
    <cfRule type="expression" dxfId="84" priority="9">
      <formula>(OR($A$16="",$A$16=80%,$A$16=70%,$A$16=65%,$A$16=60%,$A$16=55%,$A$16=50%,$A$16=45%,$A$16=40%,$A$16=35%))</formula>
    </cfRule>
  </conditionalFormatting>
  <conditionalFormatting sqref="E16:G16">
    <cfRule type="expression" dxfId="83" priority="8">
      <formula>(OR($A$16="",$A$16=80%,$A$16=70%,$A$16=65%,$A$16=60%,$A$16=55%,$A$16=50%,$A$16=45%,$A$16=40%,$A$16=35%))</formula>
    </cfRule>
  </conditionalFormatting>
  <conditionalFormatting sqref="D24:D30">
    <cfRule type="expression" dxfId="82" priority="7">
      <formula>(OR($A$24="",$A$24=80%,$A$24=70%,$A$24=65%,$A$24=60%,$A$24=55%,$A$24=50%,$A$24=45%,$A$24=40%,$A$24=35%))</formula>
    </cfRule>
  </conditionalFormatting>
  <conditionalFormatting sqref="E24:G24">
    <cfRule type="expression" dxfId="81" priority="5">
      <formula>(OR($A$24="",$A$24=80%,$A$24=70%,$A$24=65%,$A$24=60%,$A$24=55%,$A$24=50%,$A$24=45%,$A$24=40%,$A$24=35%))</formula>
    </cfRule>
  </conditionalFormatting>
  <conditionalFormatting sqref="D32:D38">
    <cfRule type="expression" dxfId="80" priority="4">
      <formula>(OR($A$32="",$A$32=80%,$A$32=70%,$A$32=65%,$A$32=60%,$A$32=55%,$A$32=50%,$A$32=45%,$A$32=40%,$A$32=35%))</formula>
    </cfRule>
  </conditionalFormatting>
  <conditionalFormatting sqref="E32:G32">
    <cfRule type="expression" dxfId="79" priority="3">
      <formula>(OR($A$32="",$A$32=80%,$A$32=70%,$A$32=65%,$A$32=60%,$A$32=55%,$A$32=50%,$A$32=45%,$A$32=40%,$A$32=35%))</formula>
    </cfRule>
  </conditionalFormatting>
  <conditionalFormatting sqref="D40:D46">
    <cfRule type="expression" dxfId="78" priority="2">
      <formula>(OR($A$40="",$A$40=80%,$A$40=70%,$A$40=65%,$A$40=60%,$A$40=55%,$A$40=50%,$A$40=45%,$A$40=40%,$A$40=35%))</formula>
    </cfRule>
  </conditionalFormatting>
  <conditionalFormatting sqref="E40:G40">
    <cfRule type="expression" dxfId="77" priority="1">
      <formula>(OR($A$40="",$A$40=80%,$A$40=70%,$A$40=65%,$A$40=60%,$A$40=55%,$A$40=50%,$A$40=45%,$A$40=40%,$A$40=35%))</formula>
    </cfRule>
  </conditionalFormatting>
  <dataValidations count="1">
    <dataValidation type="date" operator="greaterThan" allowBlank="1" showInputMessage="1" showErrorMessage="1" errorTitle="Need Application Date" error="Your entry must be a date after January 1, 2006." promptTitle="Date of Application or Update" prompt="Enter the date of this application or application update." sqref="K1:O1">
      <formula1>38718</formula1>
    </dataValidation>
  </dataValidations>
  <printOptions horizontalCentered="1"/>
  <pageMargins left="0.25" right="0.25" top="0.5" bottom="0.35" header="0" footer="0"/>
  <pageSetup scale="87" orientation="portrait" r:id="rId1"/>
  <headerFooter>
    <oddFooter>&amp;CPage &amp;P&amp;RUniversal Application - &amp;A</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tabColor theme="4" tint="0.59999389629810485"/>
  </sheetPr>
  <dimension ref="A1:AD53"/>
  <sheetViews>
    <sheetView zoomScaleNormal="100" workbookViewId="0">
      <selection activeCell="D12" sqref="D12"/>
    </sheetView>
  </sheetViews>
  <sheetFormatPr defaultColWidth="9.140625" defaultRowHeight="12.75"/>
  <cols>
    <col min="1" max="1" width="11" customWidth="1"/>
    <col min="2" max="2" width="12.140625" customWidth="1"/>
    <col min="3" max="3" width="9.28515625" bestFit="1" customWidth="1"/>
    <col min="4" max="4" width="12.28515625" customWidth="1"/>
    <col min="5" max="5" width="10.5703125" customWidth="1"/>
    <col min="6" max="6" width="10.42578125" customWidth="1"/>
    <col min="7" max="7" width="9.85546875" bestFit="1" customWidth="1"/>
    <col min="8" max="8" width="10.42578125" customWidth="1"/>
    <col min="9" max="9" width="10.5703125" customWidth="1"/>
    <col min="10" max="10" width="10.140625" customWidth="1"/>
    <col min="11" max="11" width="1.7109375" customWidth="1"/>
    <col min="12" max="21" width="10" customWidth="1"/>
  </cols>
  <sheetData>
    <row r="1" spans="1:30" s="16" customFormat="1" ht="17.25" customHeight="1">
      <c r="A1" s="1977">
        <f>'General '!A45</f>
        <v>0</v>
      </c>
      <c r="B1" s="1978"/>
      <c r="C1" s="1978"/>
      <c r="D1" s="1978"/>
      <c r="E1" s="1978"/>
      <c r="F1" s="1978"/>
      <c r="G1" s="1978"/>
      <c r="H1" s="1978"/>
      <c r="I1" s="1978"/>
      <c r="J1" s="1979"/>
      <c r="K1" s="883"/>
      <c r="L1" s="229"/>
      <c r="M1" s="229"/>
      <c r="N1" s="229"/>
      <c r="O1" s="229"/>
      <c r="P1" s="229"/>
      <c r="Q1" s="229"/>
      <c r="R1" s="229"/>
      <c r="S1" s="229"/>
      <c r="T1" s="229"/>
      <c r="U1" s="229"/>
      <c r="V1" s="229"/>
      <c r="W1" s="229"/>
      <c r="X1" s="229"/>
      <c r="Y1" s="229"/>
      <c r="Z1" s="229"/>
      <c r="AA1" s="509"/>
      <c r="AB1" s="73"/>
      <c r="AC1" s="73"/>
      <c r="AD1" s="73"/>
    </row>
    <row r="2" spans="1:30" s="16" customFormat="1" ht="33" customHeight="1">
      <c r="A2" s="1983" t="s">
        <v>1415</v>
      </c>
      <c r="B2" s="1984"/>
      <c r="C2" s="1984"/>
      <c r="D2" s="1984"/>
      <c r="E2" s="1984"/>
      <c r="F2" s="1984"/>
      <c r="G2" s="1984"/>
      <c r="H2" s="1984"/>
      <c r="I2" s="1984"/>
      <c r="J2" s="1985"/>
      <c r="K2" s="242"/>
      <c r="L2" s="242"/>
      <c r="M2" s="242"/>
      <c r="N2" s="242"/>
      <c r="O2" s="242"/>
      <c r="P2" s="242"/>
      <c r="Q2" s="242"/>
      <c r="R2" s="242"/>
      <c r="S2" s="242"/>
      <c r="T2" s="242"/>
      <c r="U2" s="242"/>
      <c r="V2" s="242"/>
      <c r="W2" s="242"/>
      <c r="X2" s="242"/>
      <c r="Y2" s="242"/>
      <c r="Z2" s="242"/>
      <c r="AA2" s="242"/>
    </row>
    <row r="3" spans="1:30" ht="77.25" customHeight="1">
      <c r="A3" s="1986"/>
      <c r="B3" s="1987"/>
      <c r="C3" s="1987"/>
      <c r="D3" s="1987"/>
      <c r="E3" s="1987"/>
      <c r="F3" s="1987"/>
      <c r="G3" s="1987"/>
      <c r="H3" s="1987"/>
      <c r="I3" s="1987"/>
      <c r="J3" s="1988"/>
    </row>
    <row r="4" spans="1:30" ht="12.95" customHeight="1">
      <c r="A4" s="1967" t="s">
        <v>229</v>
      </c>
      <c r="B4" s="1925" t="s">
        <v>329</v>
      </c>
      <c r="C4" s="1925" t="s">
        <v>179</v>
      </c>
      <c r="D4" s="1980" t="s">
        <v>1414</v>
      </c>
      <c r="E4" s="1925" t="s">
        <v>197</v>
      </c>
      <c r="F4" s="1925" t="s">
        <v>144</v>
      </c>
      <c r="G4" s="1925" t="s">
        <v>795</v>
      </c>
      <c r="H4" s="1925" t="s">
        <v>796</v>
      </c>
      <c r="I4" s="1925" t="s">
        <v>273</v>
      </c>
      <c r="J4" s="1968" t="s">
        <v>30</v>
      </c>
    </row>
    <row r="5" spans="1:30" ht="12.95" customHeight="1">
      <c r="A5" s="1922"/>
      <c r="B5" s="1930"/>
      <c r="C5" s="1930"/>
      <c r="D5" s="1981"/>
      <c r="E5" s="1930"/>
      <c r="F5" s="1930"/>
      <c r="G5" s="1930"/>
      <c r="H5" s="1930"/>
      <c r="I5" s="1930"/>
      <c r="J5" s="1969"/>
    </row>
    <row r="6" spans="1:30" ht="12.95" customHeight="1">
      <c r="A6" s="1922"/>
      <c r="B6" s="1930"/>
      <c r="C6" s="1930"/>
      <c r="D6" s="1981"/>
      <c r="E6" s="1930"/>
      <c r="F6" s="1930"/>
      <c r="G6" s="1930"/>
      <c r="H6" s="1930"/>
      <c r="I6" s="1930"/>
      <c r="J6" s="1969"/>
    </row>
    <row r="7" spans="1:30" ht="12.95" customHeight="1">
      <c r="A7" s="1922"/>
      <c r="B7" s="1930"/>
      <c r="C7" s="1931"/>
      <c r="D7" s="1982"/>
      <c r="E7" s="1931"/>
      <c r="F7" s="1931"/>
      <c r="G7" s="1931"/>
      <c r="H7" s="1931"/>
      <c r="I7" s="1931"/>
      <c r="J7" s="1970"/>
    </row>
    <row r="8" spans="1:30" ht="12.75" customHeight="1">
      <c r="A8" s="801" t="str">
        <f>IF('Rents '!A18="","",'Rents '!A18)</f>
        <v/>
      </c>
      <c r="B8" s="802" t="str">
        <f>IF('Rents '!B18="","",'Rents '!B18)</f>
        <v/>
      </c>
      <c r="C8" s="257" t="s">
        <v>654</v>
      </c>
      <c r="D8" s="232">
        <v>0</v>
      </c>
      <c r="E8" s="881">
        <v>0</v>
      </c>
      <c r="F8" s="881">
        <v>0</v>
      </c>
      <c r="G8" s="881">
        <v>0</v>
      </c>
      <c r="H8" s="880">
        <f>'Rents '!H18</f>
        <v>0</v>
      </c>
      <c r="I8" s="238" t="str">
        <f t="shared" ref="I8:I14" si="0">IF(D8&gt;0,+H8*D8," ")</f>
        <v xml:space="preserve"> </v>
      </c>
      <c r="J8" s="258" t="str">
        <f t="shared" ref="J8:J14" si="1">IF(D8&gt;0,G8*D8," ")</f>
        <v xml:space="preserve"> </v>
      </c>
    </row>
    <row r="9" spans="1:30" ht="12.75" customHeight="1">
      <c r="A9" s="647"/>
      <c r="B9" s="648"/>
      <c r="C9" s="260" t="s">
        <v>145</v>
      </c>
      <c r="D9" s="232">
        <v>0</v>
      </c>
      <c r="E9" s="238" t="str">
        <f>IF(D9=0," ",IF($B$8="TCAC",VLOOKUP($A$8,TCACrents,2,FALSE),IF($B$8="CalHFA",VLOOKUP($A$8,CalHFArents,2,FALSE),VLOOKUP($A$8,Otherrents,2,FALSE))))</f>
        <v xml:space="preserve"> </v>
      </c>
      <c r="F9" s="239" t="str">
        <f>IF(D9&gt;0,-Misc.!$X$49," ")</f>
        <v xml:space="preserve"> </v>
      </c>
      <c r="G9" s="238" t="str">
        <f t="shared" ref="G9:G14" si="2">IF(D9&gt;0,SUM(E9:F9)," ")</f>
        <v xml:space="preserve"> </v>
      </c>
      <c r="H9" s="880">
        <f>'Rents '!H19</f>
        <v>0</v>
      </c>
      <c r="I9" s="238" t="str">
        <f t="shared" si="0"/>
        <v xml:space="preserve"> </v>
      </c>
      <c r="J9" s="258" t="str">
        <f t="shared" si="1"/>
        <v xml:space="preserve"> </v>
      </c>
    </row>
    <row r="10" spans="1:30" ht="12.75" customHeight="1">
      <c r="A10" s="571" t="s">
        <v>413</v>
      </c>
      <c r="B10" s="261"/>
      <c r="C10" s="260" t="s">
        <v>146</v>
      </c>
      <c r="D10" s="232">
        <v>0</v>
      </c>
      <c r="E10" s="238" t="str">
        <f>IF(D10=0," ",IF($B$8="TCAC",VLOOKUP($A$8,TCACrents,3,FALSE),IF($B$8="CalHFA",VLOOKUP($A$8,CalHFArents,3,FALSE),VLOOKUP($A$8,Otherrents,3,FALSE))))</f>
        <v xml:space="preserve"> </v>
      </c>
      <c r="F10" s="239" t="str">
        <f>IF(D10&gt;0,-Misc.!$AA$49," ")</f>
        <v xml:space="preserve"> </v>
      </c>
      <c r="G10" s="238" t="str">
        <f t="shared" si="2"/>
        <v xml:space="preserve"> </v>
      </c>
      <c r="H10" s="880">
        <f>'Rents '!H20</f>
        <v>0</v>
      </c>
      <c r="I10" s="238" t="str">
        <f t="shared" si="0"/>
        <v xml:space="preserve"> </v>
      </c>
      <c r="J10" s="258" t="str">
        <f t="shared" si="1"/>
        <v xml:space="preserve"> </v>
      </c>
    </row>
    <row r="11" spans="1:30" ht="12.75" customHeight="1">
      <c r="A11" s="571" t="s">
        <v>414</v>
      </c>
      <c r="B11" s="572" t="e">
        <f>+D15/D$48</f>
        <v>#DIV/0!</v>
      </c>
      <c r="C11" s="260" t="s">
        <v>147</v>
      </c>
      <c r="D11" s="232">
        <v>0</v>
      </c>
      <c r="E11" s="238" t="str">
        <f>IF(D11=0," ",IF($B$8="TCAC",VLOOKUP($A$8,TCACrents,4,FALSE),IF($B$8="CalHFA",VLOOKUP($A$8,CalHFArents,4,FALSE),VLOOKUP($A$8,Otherrents,4,FALSE))))</f>
        <v xml:space="preserve"> </v>
      </c>
      <c r="F11" s="239" t="str">
        <f>IF(D11&gt;0,-Misc.!$AD$49," ")</f>
        <v xml:space="preserve"> </v>
      </c>
      <c r="G11" s="238" t="str">
        <f t="shared" si="2"/>
        <v xml:space="preserve"> </v>
      </c>
      <c r="H11" s="880">
        <f>'Rents '!H21</f>
        <v>0</v>
      </c>
      <c r="I11" s="238" t="str">
        <f t="shared" si="0"/>
        <v xml:space="preserve"> </v>
      </c>
      <c r="J11" s="258" t="str">
        <f t="shared" si="1"/>
        <v xml:space="preserve"> </v>
      </c>
      <c r="W11" s="551"/>
      <c r="X11" s="14"/>
      <c r="Y11" s="551"/>
      <c r="Z11" s="14"/>
      <c r="AA11" s="14"/>
    </row>
    <row r="12" spans="1:30" ht="12.75" customHeight="1">
      <c r="A12" s="10"/>
      <c r="C12" s="260" t="s">
        <v>148</v>
      </c>
      <c r="D12" s="232">
        <v>0</v>
      </c>
      <c r="E12" s="238" t="str">
        <f>IF(D12=0," ",IF($B$8="TCAC",VLOOKUP($A$8,TCACrents,5,FALSE),IF($B$8="CalHFA",VLOOKUP($A$8,CalHFArents,5,FALSE),VLOOKUP($A$8,Otherrents,5,FALSE))))</f>
        <v xml:space="preserve"> </v>
      </c>
      <c r="F12" s="239" t="str">
        <f>IF(D12&gt;0,-Misc.!$AG$49," ")</f>
        <v xml:space="preserve"> </v>
      </c>
      <c r="G12" s="238" t="str">
        <f t="shared" si="2"/>
        <v xml:space="preserve"> </v>
      </c>
      <c r="H12" s="880">
        <f>'Rents '!H22</f>
        <v>0</v>
      </c>
      <c r="I12" s="238" t="str">
        <f t="shared" si="0"/>
        <v xml:space="preserve"> </v>
      </c>
      <c r="J12" s="258" t="str">
        <f t="shared" si="1"/>
        <v xml:space="preserve"> </v>
      </c>
      <c r="W12" s="123"/>
    </row>
    <row r="13" spans="1:30" ht="12.75" customHeight="1">
      <c r="A13" s="10"/>
      <c r="C13" s="260" t="s">
        <v>149</v>
      </c>
      <c r="D13" s="232">
        <v>0</v>
      </c>
      <c r="E13" s="238" t="str">
        <f>IF(D13=0," ",IF($B$8="TCAC",VLOOKUP($A$8,TCACrents,6,FALSE),IF($B$8="CalHFA",VLOOKUP($A$8,CalHFArents,6,FALSE),VLOOKUP($A$8,Otherrents,6,FALSE))))</f>
        <v xml:space="preserve"> </v>
      </c>
      <c r="F13" s="239" t="str">
        <f>IF(D13&gt;0,-Misc.!$AJ$49," ")</f>
        <v xml:space="preserve"> </v>
      </c>
      <c r="G13" s="238" t="str">
        <f t="shared" si="2"/>
        <v xml:space="preserve"> </v>
      </c>
      <c r="H13" s="880">
        <f>'Rents '!H23</f>
        <v>0</v>
      </c>
      <c r="I13" s="238" t="str">
        <f t="shared" si="0"/>
        <v xml:space="preserve"> </v>
      </c>
      <c r="J13" s="258" t="str">
        <f t="shared" si="1"/>
        <v xml:space="preserve"> </v>
      </c>
      <c r="W13" s="123"/>
    </row>
    <row r="14" spans="1:30" ht="12.75" customHeight="1" thickBot="1">
      <c r="A14" s="264"/>
      <c r="B14" s="112"/>
      <c r="C14" s="268" t="s">
        <v>150</v>
      </c>
      <c r="D14" s="232">
        <v>0</v>
      </c>
      <c r="E14" s="240" t="str">
        <f>IF(D14=0," ",IF($B$8="TCAC",VLOOKUP($A$8,TCACrents,7,FALSE),IF($B$8="CalHFA",VLOOKUP($A$8,CalHFArents,7,FALSE),VLOOKUP($A$8,Otherrents,7,FALSE))))</f>
        <v xml:space="preserve"> </v>
      </c>
      <c r="F14" s="241" t="str">
        <f>IF(D14&gt;0,-Misc.!$AM$49," ")</f>
        <v xml:space="preserve"> </v>
      </c>
      <c r="G14" s="240" t="str">
        <f t="shared" si="2"/>
        <v xml:space="preserve"> </v>
      </c>
      <c r="H14" s="880">
        <f>'Rents '!H24</f>
        <v>0</v>
      </c>
      <c r="I14" s="240" t="str">
        <f t="shared" si="0"/>
        <v xml:space="preserve"> </v>
      </c>
      <c r="J14" s="269" t="str">
        <f t="shared" si="1"/>
        <v xml:space="preserve"> </v>
      </c>
      <c r="W14" s="123"/>
    </row>
    <row r="15" spans="1:30" ht="12.75" customHeight="1" thickBot="1">
      <c r="A15" s="273"/>
      <c r="B15" s="274"/>
      <c r="C15" s="274"/>
      <c r="D15" s="328">
        <f>SUM(D8:D14)</f>
        <v>0</v>
      </c>
      <c r="E15" s="275" t="s">
        <v>801</v>
      </c>
      <c r="F15" s="329"/>
      <c r="G15" s="329"/>
      <c r="H15" s="329"/>
      <c r="I15" s="330">
        <f>SUM(I8:I14)</f>
        <v>0</v>
      </c>
      <c r="J15" s="331">
        <f>SUM(J8:J14)</f>
        <v>0</v>
      </c>
      <c r="W15" s="123"/>
    </row>
    <row r="16" spans="1:30" ht="12.75" customHeight="1">
      <c r="A16" s="801" t="str">
        <f>IF('Rents '!A26="","",'Rents '!A26)</f>
        <v/>
      </c>
      <c r="B16" s="802" t="str">
        <f>IF('Rents '!B26="","",'Rents '!B26)</f>
        <v/>
      </c>
      <c r="C16" s="276" t="s">
        <v>654</v>
      </c>
      <c r="D16" s="232">
        <v>0</v>
      </c>
      <c r="E16" s="881">
        <v>0</v>
      </c>
      <c r="F16" s="881">
        <v>0</v>
      </c>
      <c r="G16" s="881">
        <v>0</v>
      </c>
      <c r="H16" s="880">
        <f>'Rents '!H26</f>
        <v>0</v>
      </c>
      <c r="I16" s="277" t="str">
        <f t="shared" ref="I16:I22" si="3">IF(D16&gt;0,+H16*D16," ")</f>
        <v xml:space="preserve"> </v>
      </c>
      <c r="J16" s="278" t="str">
        <f t="shared" ref="J16:J22" si="4">IF(D16&gt;0,G16*D16," ")</f>
        <v xml:space="preserve"> </v>
      </c>
      <c r="W16" s="123"/>
    </row>
    <row r="17" spans="1:23" ht="12.75" customHeight="1">
      <c r="A17" s="259"/>
      <c r="B17" s="112"/>
      <c r="C17" s="260" t="s">
        <v>145</v>
      </c>
      <c r="D17" s="232">
        <v>0</v>
      </c>
      <c r="E17" s="238" t="str">
        <f>IF(D17=0," ",IF($B$16="TCAC",VLOOKUP($A$16,TCACrents,2,FALSE),IF($B$16="CalHFA",VLOOKUP($A$16,CalHFArents,2,FALSE),VLOOKUP($A$16,Otherrents,2,FALSE))))</f>
        <v xml:space="preserve"> </v>
      </c>
      <c r="F17" s="239" t="str">
        <f>IF(D17&gt;0,-Misc.!$X$49," ")</f>
        <v xml:space="preserve"> </v>
      </c>
      <c r="G17" s="238" t="str">
        <f t="shared" ref="G17:G22" si="5">IF(D17&gt;0,SUM(E17:F17)," ")</f>
        <v xml:space="preserve"> </v>
      </c>
      <c r="H17" s="880">
        <f>'Rents '!H27</f>
        <v>0</v>
      </c>
      <c r="I17" s="238" t="str">
        <f t="shared" si="3"/>
        <v xml:space="preserve"> </v>
      </c>
      <c r="J17" s="258" t="str">
        <f t="shared" si="4"/>
        <v xml:space="preserve"> </v>
      </c>
      <c r="W17" s="123"/>
    </row>
    <row r="18" spans="1:23" ht="12.75" customHeight="1">
      <c r="A18" s="571" t="s">
        <v>413</v>
      </c>
      <c r="B18" s="261"/>
      <c r="C18" s="260" t="s">
        <v>146</v>
      </c>
      <c r="D18" s="232">
        <v>0</v>
      </c>
      <c r="E18" s="238" t="str">
        <f>IF(D18=0," ",IF($B$16="TCAC",VLOOKUP($A$16,TCACrents,3,FALSE),IF($B$16="CalHFA",VLOOKUP($A$16,CalHFArents,3,FALSE),VLOOKUP($A$16,Otherrents,3,FALSE))))</f>
        <v xml:space="preserve"> </v>
      </c>
      <c r="F18" s="239" t="str">
        <f>IF(D18&gt;0,-Misc.!$AA$49," ")</f>
        <v xml:space="preserve"> </v>
      </c>
      <c r="G18" s="238" t="str">
        <f t="shared" si="5"/>
        <v xml:space="preserve"> </v>
      </c>
      <c r="H18" s="880">
        <f>'Rents '!H28</f>
        <v>0</v>
      </c>
      <c r="I18" s="238" t="str">
        <f t="shared" si="3"/>
        <v xml:space="preserve"> </v>
      </c>
      <c r="J18" s="258" t="str">
        <f t="shared" si="4"/>
        <v xml:space="preserve"> </v>
      </c>
      <c r="W18" s="123"/>
    </row>
    <row r="19" spans="1:23" ht="12.75" customHeight="1">
      <c r="A19" s="571" t="s">
        <v>414</v>
      </c>
      <c r="B19" s="572" t="e">
        <f>+D23/D$48</f>
        <v>#DIV/0!</v>
      </c>
      <c r="C19" s="260" t="s">
        <v>147</v>
      </c>
      <c r="D19" s="232">
        <v>0</v>
      </c>
      <c r="E19" s="238" t="str">
        <f>IF(D19=0," ",IF($B$16="TCAC",VLOOKUP($A$16,TCACrents,4,FALSE),IF($B$16="CalHFA",VLOOKUP($A$16,CalHFArents,4,FALSE),VLOOKUP($A$16,Otherrents,4,FALSE))))</f>
        <v xml:space="preserve"> </v>
      </c>
      <c r="F19" s="239" t="str">
        <f>IF(D19&gt;0,-Misc.!$AD$49," ")</f>
        <v xml:space="preserve"> </v>
      </c>
      <c r="G19" s="238" t="str">
        <f t="shared" si="5"/>
        <v xml:space="preserve"> </v>
      </c>
      <c r="H19" s="880">
        <f>'Rents '!H29</f>
        <v>0</v>
      </c>
      <c r="I19" s="238" t="str">
        <f t="shared" si="3"/>
        <v xml:space="preserve"> </v>
      </c>
      <c r="J19" s="258" t="str">
        <f t="shared" si="4"/>
        <v xml:space="preserve"> </v>
      </c>
      <c r="W19" s="123"/>
    </row>
    <row r="20" spans="1:23" ht="12.75" customHeight="1">
      <c r="A20" s="264"/>
      <c r="B20" s="112"/>
      <c r="C20" s="260" t="s">
        <v>148</v>
      </c>
      <c r="D20" s="232">
        <v>0</v>
      </c>
      <c r="E20" s="238" t="str">
        <f>IF(D20=0," ",IF($B$16="TCAC",VLOOKUP($A$16,TCACrents,5,FALSE),IF($B$16="CalHFA",VLOOKUP($A$16,CalHFArents,5,FALSE),VLOOKUP($A$16,Otherrents,5,FALSE))))</f>
        <v xml:space="preserve"> </v>
      </c>
      <c r="F20" s="239" t="str">
        <f>IF(D20&gt;0,-Misc.!$AG$49," ")</f>
        <v xml:space="preserve"> </v>
      </c>
      <c r="G20" s="238" t="str">
        <f t="shared" si="5"/>
        <v xml:space="preserve"> </v>
      </c>
      <c r="H20" s="880">
        <f>'Rents '!H30</f>
        <v>0</v>
      </c>
      <c r="I20" s="238" t="str">
        <f t="shared" si="3"/>
        <v xml:space="preserve"> </v>
      </c>
      <c r="J20" s="258" t="str">
        <f t="shared" si="4"/>
        <v xml:space="preserve"> </v>
      </c>
      <c r="W20" s="123"/>
    </row>
    <row r="21" spans="1:23" ht="12.75" customHeight="1">
      <c r="A21" s="264"/>
      <c r="B21" s="112"/>
      <c r="C21" s="260" t="s">
        <v>149</v>
      </c>
      <c r="D21" s="232">
        <v>0</v>
      </c>
      <c r="E21" s="238" t="str">
        <f>IF(D21=0," ",IF($B$16="TCAC",VLOOKUP($A$16,TCACrents,6,FALSE),IF($B$16="CalHFA",VLOOKUP($A$16,CalHFArents,6,FALSE),VLOOKUP($A$16,Otherrents,6,FALSE))))</f>
        <v xml:space="preserve"> </v>
      </c>
      <c r="F21" s="239" t="str">
        <f>IF(D21&gt;0,-Misc.!$AJ$49," ")</f>
        <v xml:space="preserve"> </v>
      </c>
      <c r="G21" s="238" t="str">
        <f t="shared" si="5"/>
        <v xml:space="preserve"> </v>
      </c>
      <c r="H21" s="880">
        <f>'Rents '!H31</f>
        <v>0</v>
      </c>
      <c r="I21" s="238" t="str">
        <f t="shared" si="3"/>
        <v xml:space="preserve"> </v>
      </c>
      <c r="J21" s="258" t="str">
        <f t="shared" si="4"/>
        <v xml:space="preserve"> </v>
      </c>
      <c r="W21" s="123"/>
    </row>
    <row r="22" spans="1:23" ht="12.75" customHeight="1" thickBot="1">
      <c r="A22" s="264"/>
      <c r="B22" s="112"/>
      <c r="C22" s="268" t="s">
        <v>150</v>
      </c>
      <c r="D22" s="232">
        <v>0</v>
      </c>
      <c r="E22" s="240" t="str">
        <f>IF(D22=0," ",IF($B$16="TCAC",VLOOKUP($A$16,TCACrents,7,FALSE),IF($B$16="CalHFA",VLOOKUP($A$16,CalHFArents,7,FALSE),VLOOKUP($A$16,Otherrents,7,FALSE))))</f>
        <v xml:space="preserve"> </v>
      </c>
      <c r="F22" s="241" t="str">
        <f>IF(D22&gt;0,-Misc.!$AM$49," ")</f>
        <v xml:space="preserve"> </v>
      </c>
      <c r="G22" s="240" t="str">
        <f t="shared" si="5"/>
        <v xml:space="preserve"> </v>
      </c>
      <c r="H22" s="880">
        <f>'Rents '!H32</f>
        <v>0</v>
      </c>
      <c r="I22" s="240" t="str">
        <f t="shared" si="3"/>
        <v xml:space="preserve"> </v>
      </c>
      <c r="J22" s="269" t="str">
        <f t="shared" si="4"/>
        <v xml:space="preserve"> </v>
      </c>
      <c r="W22" s="123"/>
    </row>
    <row r="23" spans="1:23" ht="12.75" customHeight="1" thickBot="1">
      <c r="A23" s="273"/>
      <c r="B23" s="274"/>
      <c r="C23" s="274"/>
      <c r="D23" s="328">
        <f>SUM(D16:D22)</f>
        <v>0</v>
      </c>
      <c r="E23" s="275" t="s">
        <v>801</v>
      </c>
      <c r="F23" s="329"/>
      <c r="G23" s="329"/>
      <c r="H23" s="329"/>
      <c r="I23" s="330">
        <f>SUM(I16:I22)</f>
        <v>0</v>
      </c>
      <c r="J23" s="331">
        <f>SUM(J16:J22)</f>
        <v>0</v>
      </c>
      <c r="W23" s="123"/>
    </row>
    <row r="24" spans="1:23" ht="12.75" customHeight="1">
      <c r="A24" s="801" t="str">
        <f>IF('Rents '!A34="","",'Rents '!A34)</f>
        <v/>
      </c>
      <c r="B24" s="802" t="str">
        <f>IF('Rents '!B34="","",'Rents '!B34)</f>
        <v/>
      </c>
      <c r="C24" s="276" t="s">
        <v>654</v>
      </c>
      <c r="D24" s="232">
        <v>0</v>
      </c>
      <c r="E24" s="233">
        <v>0</v>
      </c>
      <c r="F24" s="233">
        <v>0</v>
      </c>
      <c r="G24" s="233">
        <v>0</v>
      </c>
      <c r="H24" s="880">
        <f>'Rents '!H34</f>
        <v>0</v>
      </c>
      <c r="I24" s="277" t="str">
        <f t="shared" ref="I24:I30" si="6">IF(D24&gt;0,+H24*D24," ")</f>
        <v xml:space="preserve"> </v>
      </c>
      <c r="J24" s="278" t="str">
        <f t="shared" ref="J24:J30" si="7">IF(D24&gt;0,G24*D24," ")</f>
        <v xml:space="preserve"> </v>
      </c>
    </row>
    <row r="25" spans="1:23" ht="12.75" customHeight="1">
      <c r="A25" s="259"/>
      <c r="B25" s="112"/>
      <c r="C25" s="260" t="s">
        <v>145</v>
      </c>
      <c r="D25" s="232">
        <v>0</v>
      </c>
      <c r="E25" s="238" t="str">
        <f>IF(D25=0," ",IF($B$24="TCAC",VLOOKUP($A$24,TCACrents,2,FALSE),IF($B$24="CalHFA",VLOOKUP($A$24,CalHFArents,2,FALSE),VLOOKUP($A$24,Otherrents,2,FALSE))))</f>
        <v xml:space="preserve"> </v>
      </c>
      <c r="F25" s="239" t="str">
        <f>IF(D25&gt;0,-Misc.!$X$49," ")</f>
        <v xml:space="preserve"> </v>
      </c>
      <c r="G25" s="238" t="str">
        <f t="shared" ref="G25:G30" si="8">IF(D25&gt;0,SUM(E25:F25)," ")</f>
        <v xml:space="preserve"> </v>
      </c>
      <c r="H25" s="880">
        <f>'Rents '!H35</f>
        <v>0</v>
      </c>
      <c r="I25" s="238" t="str">
        <f t="shared" si="6"/>
        <v xml:space="preserve"> </v>
      </c>
      <c r="J25" s="258" t="str">
        <f t="shared" si="7"/>
        <v xml:space="preserve"> </v>
      </c>
    </row>
    <row r="26" spans="1:23" ht="12.75" customHeight="1">
      <c r="A26" s="571" t="s">
        <v>413</v>
      </c>
      <c r="B26" s="261"/>
      <c r="C26" s="260" t="s">
        <v>146</v>
      </c>
      <c r="D26" s="232">
        <v>0</v>
      </c>
      <c r="E26" s="238" t="str">
        <f>IF(D26=0," ",IF($B$24="TCAC",VLOOKUP($A$24,TCACrents,3,FALSE),IF($B$24="CalHFA",VLOOKUP($A$24,CalHFArents,3,FALSE),VLOOKUP($A$24,Otherrents,3,FALSE))))</f>
        <v xml:space="preserve"> </v>
      </c>
      <c r="F26" s="239" t="str">
        <f>IF(D26&gt;0,-Misc.!$AA$49," ")</f>
        <v xml:space="preserve"> </v>
      </c>
      <c r="G26" s="238" t="str">
        <f t="shared" si="8"/>
        <v xml:space="preserve"> </v>
      </c>
      <c r="H26" s="880">
        <f>'Rents '!H36</f>
        <v>0</v>
      </c>
      <c r="I26" s="238" t="str">
        <f t="shared" si="6"/>
        <v xml:space="preserve"> </v>
      </c>
      <c r="J26" s="258" t="str">
        <f t="shared" si="7"/>
        <v xml:space="preserve"> </v>
      </c>
    </row>
    <row r="27" spans="1:23" ht="12.75" customHeight="1">
      <c r="A27" s="571" t="s">
        <v>414</v>
      </c>
      <c r="B27" s="572" t="e">
        <f>+D31/D$48</f>
        <v>#DIV/0!</v>
      </c>
      <c r="C27" s="260" t="s">
        <v>147</v>
      </c>
      <c r="D27" s="232">
        <v>0</v>
      </c>
      <c r="E27" s="238" t="str">
        <f>IF(D27=0," ",IF($B$24="TCAC",VLOOKUP($A$24,TCACrents,4,FALSE),IF($B$24="CalHFA",VLOOKUP($A$24,CalHFArents,4,FALSE),VLOOKUP($A$24,Otherrents,4,FALSE))))</f>
        <v xml:space="preserve"> </v>
      </c>
      <c r="F27" s="239" t="str">
        <f>IF(D27&gt;0,-Misc.!$AD$49," ")</f>
        <v xml:space="preserve"> </v>
      </c>
      <c r="G27" s="238" t="str">
        <f t="shared" si="8"/>
        <v xml:space="preserve"> </v>
      </c>
      <c r="H27" s="880">
        <f>'Rents '!H37</f>
        <v>0</v>
      </c>
      <c r="I27" s="238" t="str">
        <f t="shared" si="6"/>
        <v xml:space="preserve"> </v>
      </c>
      <c r="J27" s="258" t="str">
        <f t="shared" si="7"/>
        <v xml:space="preserve"> </v>
      </c>
    </row>
    <row r="28" spans="1:23" ht="12.75" customHeight="1">
      <c r="A28" s="264"/>
      <c r="B28" s="112"/>
      <c r="C28" s="260" t="s">
        <v>148</v>
      </c>
      <c r="D28" s="232">
        <v>0</v>
      </c>
      <c r="E28" s="238" t="str">
        <f>IF(D28=0," ",IF($B$24="TCAC",VLOOKUP($A$24,TCACrents,5,FALSE),IF($B$24="CalHFA",VLOOKUP($A$24,CalHFArents,5,FALSE),VLOOKUP($A$24,Otherrents,5,FALSE))))</f>
        <v xml:space="preserve"> </v>
      </c>
      <c r="F28" s="239" t="str">
        <f>IF(D28&gt;0,-Misc.!$AG$49," ")</f>
        <v xml:space="preserve"> </v>
      </c>
      <c r="G28" s="238" t="str">
        <f t="shared" si="8"/>
        <v xml:space="preserve"> </v>
      </c>
      <c r="H28" s="880">
        <f>'Rents '!H38</f>
        <v>0</v>
      </c>
      <c r="I28" s="238" t="str">
        <f t="shared" si="6"/>
        <v xml:space="preserve"> </v>
      </c>
      <c r="J28" s="258" t="str">
        <f t="shared" si="7"/>
        <v xml:space="preserve"> </v>
      </c>
    </row>
    <row r="29" spans="1:23" ht="12.75" customHeight="1">
      <c r="A29" s="264"/>
      <c r="B29" s="112"/>
      <c r="C29" s="260" t="s">
        <v>149</v>
      </c>
      <c r="D29" s="232">
        <v>0</v>
      </c>
      <c r="E29" s="238" t="str">
        <f>IF(D29=0," ",IF($B$24="TCAC",VLOOKUP($A$24,TCACrents,6,FALSE),IF($B$24="CalHFA",VLOOKUP($A$24,CalHFArents,6,FALSE),VLOOKUP($A$24,Otherrents,6,FALSE))))</f>
        <v xml:space="preserve"> </v>
      </c>
      <c r="F29" s="239" t="str">
        <f>IF(D29&gt;0,-Misc.!$AJ$49," ")</f>
        <v xml:space="preserve"> </v>
      </c>
      <c r="G29" s="238" t="str">
        <f t="shared" si="8"/>
        <v xml:space="preserve"> </v>
      </c>
      <c r="H29" s="880">
        <f>'Rents '!H39</f>
        <v>0</v>
      </c>
      <c r="I29" s="238" t="str">
        <f t="shared" si="6"/>
        <v xml:space="preserve"> </v>
      </c>
      <c r="J29" s="258" t="str">
        <f t="shared" si="7"/>
        <v xml:space="preserve"> </v>
      </c>
    </row>
    <row r="30" spans="1:23" ht="12.75" customHeight="1" thickBot="1">
      <c r="A30" s="264"/>
      <c r="B30" s="112"/>
      <c r="C30" s="268" t="s">
        <v>150</v>
      </c>
      <c r="D30" s="232">
        <v>0</v>
      </c>
      <c r="E30" s="240" t="str">
        <f>IF(D30=0," ",IF($B$24="TCAC",VLOOKUP($A$24,TCACrents,7,FALSE),IF($B$24="CalHFA",VLOOKUP($A$24,CalHFArents,7,FALSE),VLOOKUP($A$24,Otherrents,7,FALSE))))</f>
        <v xml:space="preserve"> </v>
      </c>
      <c r="F30" s="241" t="str">
        <f>IF(D30&gt;0,-Misc.!$AM$49," ")</f>
        <v xml:space="preserve"> </v>
      </c>
      <c r="G30" s="240" t="str">
        <f t="shared" si="8"/>
        <v xml:space="preserve"> </v>
      </c>
      <c r="H30" s="880">
        <f>'Rents '!H40</f>
        <v>0</v>
      </c>
      <c r="I30" s="240" t="str">
        <f t="shared" si="6"/>
        <v xml:space="preserve"> </v>
      </c>
      <c r="J30" s="269" t="str">
        <f t="shared" si="7"/>
        <v xml:space="preserve"> </v>
      </c>
    </row>
    <row r="31" spans="1:23" ht="12.75" customHeight="1" thickBot="1">
      <c r="A31" s="273"/>
      <c r="B31" s="274"/>
      <c r="C31" s="274"/>
      <c r="D31" s="328">
        <f>SUM(D24:D30)</f>
        <v>0</v>
      </c>
      <c r="E31" s="275" t="s">
        <v>801</v>
      </c>
      <c r="F31" s="329"/>
      <c r="G31" s="329"/>
      <c r="H31" s="329"/>
      <c r="I31" s="330">
        <f>SUM(I24:I30)</f>
        <v>0</v>
      </c>
      <c r="J31" s="331">
        <f>SUM(J24:J30)</f>
        <v>0</v>
      </c>
    </row>
    <row r="32" spans="1:23" ht="12.75" customHeight="1">
      <c r="A32" s="801" t="str">
        <f>IF('Rents '!A42="","",'Rents '!A42)</f>
        <v/>
      </c>
      <c r="B32" s="802" t="str">
        <f>IF('Rents '!B42="","",'Rents '!B42)</f>
        <v/>
      </c>
      <c r="C32" s="276" t="s">
        <v>654</v>
      </c>
      <c r="D32" s="232">
        <v>0</v>
      </c>
      <c r="E32" s="882">
        <v>0</v>
      </c>
      <c r="F32" s="882">
        <v>0</v>
      </c>
      <c r="G32" s="882">
        <v>0</v>
      </c>
      <c r="H32" s="880">
        <f>'Rents '!H42</f>
        <v>0</v>
      </c>
      <c r="I32" s="277" t="str">
        <f t="shared" ref="I32:I38" si="9">IF(D32&gt;0,+H32*D32," ")</f>
        <v xml:space="preserve"> </v>
      </c>
      <c r="J32" s="278" t="str">
        <f t="shared" ref="J32:J38" si="10">IF(D32&gt;0,G32*D32," ")</f>
        <v xml:space="preserve"> </v>
      </c>
    </row>
    <row r="33" spans="1:20" ht="12.75" customHeight="1">
      <c r="A33" s="259"/>
      <c r="B33" s="112"/>
      <c r="C33" s="260" t="s">
        <v>145</v>
      </c>
      <c r="D33" s="232">
        <v>0</v>
      </c>
      <c r="E33" s="238" t="str">
        <f>IF(D33=0," ",IF($B$32="TCAC",VLOOKUP($A$32,TCACrents,2,FALSE),IF($B$32="CalHFA",VLOOKUP($A$32,CalHFArents,2,FALSE),VLOOKUP($A$32,Otherrents,2,FALSE))))</f>
        <v xml:space="preserve"> </v>
      </c>
      <c r="F33" s="239" t="str">
        <f>IF(D33&gt;0,-Misc.!$X$49," ")</f>
        <v xml:space="preserve"> </v>
      </c>
      <c r="G33" s="238" t="str">
        <f t="shared" ref="G33:G38" si="11">IF(D33&gt;0,SUM(E33:F33)," ")</f>
        <v xml:space="preserve"> </v>
      </c>
      <c r="H33" s="880">
        <f>'Rents '!H43</f>
        <v>0</v>
      </c>
      <c r="I33" s="238" t="str">
        <f t="shared" si="9"/>
        <v xml:space="preserve"> </v>
      </c>
      <c r="J33" s="258" t="str">
        <f t="shared" si="10"/>
        <v xml:space="preserve"> </v>
      </c>
      <c r="S33" s="112"/>
      <c r="T33" s="112"/>
    </row>
    <row r="34" spans="1:20" ht="12.75" customHeight="1">
      <c r="A34" s="571" t="s">
        <v>413</v>
      </c>
      <c r="B34" s="261"/>
      <c r="C34" s="260" t="s">
        <v>146</v>
      </c>
      <c r="D34" s="232">
        <v>0</v>
      </c>
      <c r="E34" s="238" t="str">
        <f>IF(D34=0," ",IF($B$32="TCAC",VLOOKUP($A$32,TCACrents,3,FALSE),IF($B$32="CalHFA",VLOOKUP($A$32,CalHFArents,3,FALSE),VLOOKUP($A$32,Otherrents,3,FALSE))))</f>
        <v xml:space="preserve"> </v>
      </c>
      <c r="F34" s="239" t="str">
        <f>IF(D34&gt;0,-Misc.!$AA$49," ")</f>
        <v xml:space="preserve"> </v>
      </c>
      <c r="G34" s="238" t="str">
        <f t="shared" si="11"/>
        <v xml:space="preserve"> </v>
      </c>
      <c r="H34" s="880">
        <f>'Rents '!H44</f>
        <v>0</v>
      </c>
      <c r="I34" s="238" t="str">
        <f t="shared" si="9"/>
        <v xml:space="preserve"> </v>
      </c>
      <c r="J34" s="258" t="str">
        <f t="shared" si="10"/>
        <v xml:space="preserve"> </v>
      </c>
      <c r="S34" s="112"/>
      <c r="T34" s="112"/>
    </row>
    <row r="35" spans="1:20" ht="12.75" customHeight="1">
      <c r="A35" s="571" t="s">
        <v>414</v>
      </c>
      <c r="B35" s="572" t="e">
        <f>+D39/D$48</f>
        <v>#DIV/0!</v>
      </c>
      <c r="C35" s="260" t="s">
        <v>147</v>
      </c>
      <c r="D35" s="232">
        <v>0</v>
      </c>
      <c r="E35" s="238" t="str">
        <f>IF(D35=0," ",IF($B$32="TCAC",VLOOKUP($A$32,TCACrents,4,FALSE),IF($B$32="CalHFA",VLOOKUP($A$32,CalHFArents,4,FALSE),VLOOKUP($A$32,Otherrents,4,FALSE))))</f>
        <v xml:space="preserve"> </v>
      </c>
      <c r="F35" s="239" t="str">
        <f>IF(D35&gt;0,-Misc.!$AD$49," ")</f>
        <v xml:space="preserve"> </v>
      </c>
      <c r="G35" s="238" t="str">
        <f t="shared" si="11"/>
        <v xml:space="preserve"> </v>
      </c>
      <c r="H35" s="880">
        <f>'Rents '!H45</f>
        <v>0</v>
      </c>
      <c r="I35" s="238" t="str">
        <f t="shared" si="9"/>
        <v xml:space="preserve"> </v>
      </c>
      <c r="J35" s="258" t="str">
        <f t="shared" si="10"/>
        <v xml:space="preserve"> </v>
      </c>
      <c r="T35" s="112"/>
    </row>
    <row r="36" spans="1:20" ht="12.75" customHeight="1">
      <c r="A36" s="264"/>
      <c r="B36" s="112"/>
      <c r="C36" s="260" t="s">
        <v>148</v>
      </c>
      <c r="D36" s="232">
        <v>0</v>
      </c>
      <c r="E36" s="238" t="str">
        <f>IF(D36=0," ",IF($B$32="TCAC",VLOOKUP($A$32,TCACrents,5,FALSE),IF($B$32="CalHFA",VLOOKUP($A$32,CalHFArents,5,FALSE),VLOOKUP($A$32,Otherrents,5,FALSE))))</f>
        <v xml:space="preserve"> </v>
      </c>
      <c r="F36" s="239" t="str">
        <f>IF(D36&gt;0,-Misc.!$AG$49," ")</f>
        <v xml:space="preserve"> </v>
      </c>
      <c r="G36" s="238" t="str">
        <f t="shared" si="11"/>
        <v xml:space="preserve"> </v>
      </c>
      <c r="H36" s="880">
        <f>'Rents '!H46</f>
        <v>0</v>
      </c>
      <c r="I36" s="238" t="str">
        <f t="shared" si="9"/>
        <v xml:space="preserve"> </v>
      </c>
      <c r="J36" s="258" t="str">
        <f t="shared" si="10"/>
        <v xml:space="preserve"> </v>
      </c>
      <c r="T36" s="112"/>
    </row>
    <row r="37" spans="1:20" ht="12.75" customHeight="1">
      <c r="A37" s="264"/>
      <c r="B37" s="112"/>
      <c r="C37" s="260" t="s">
        <v>149</v>
      </c>
      <c r="D37" s="232">
        <v>0</v>
      </c>
      <c r="E37" s="238" t="str">
        <f>IF(D37=0," ",IF($B$32="TCAC",VLOOKUP($A$32,TCACrents,6,FALSE),IF($B$32="CalHFA",VLOOKUP($A$32,CalHFArents,6,FALSE),VLOOKUP($A$32,Otherrents,6,FALSE))))</f>
        <v xml:space="preserve"> </v>
      </c>
      <c r="F37" s="239" t="str">
        <f>IF(D37&gt;0,-Misc.!$AJ$49," ")</f>
        <v xml:space="preserve"> </v>
      </c>
      <c r="G37" s="238" t="str">
        <f t="shared" si="11"/>
        <v xml:space="preserve"> </v>
      </c>
      <c r="H37" s="880">
        <f>'Rents '!H47</f>
        <v>0</v>
      </c>
      <c r="I37" s="238" t="str">
        <f t="shared" si="9"/>
        <v xml:space="preserve"> </v>
      </c>
      <c r="J37" s="258" t="str">
        <f t="shared" si="10"/>
        <v xml:space="preserve"> </v>
      </c>
      <c r="T37" s="112"/>
    </row>
    <row r="38" spans="1:20" ht="12.75" customHeight="1" thickBot="1">
      <c r="A38" s="264"/>
      <c r="B38" s="112"/>
      <c r="C38" s="268" t="s">
        <v>150</v>
      </c>
      <c r="D38" s="232">
        <v>0</v>
      </c>
      <c r="E38" s="240" t="str">
        <f>IF(D38=0," ",IF($B$32="TCAC",VLOOKUP($A$32,TCACrents,7,FALSE),IF($B$32="CalHFA",VLOOKUP($A$32,CalHFArents,7,FALSE),VLOOKUP($A$32,Otherrents,7,FALSE))))</f>
        <v xml:space="preserve"> </v>
      </c>
      <c r="F38" s="241" t="str">
        <f>IF(D38&gt;0,-Misc.!$AM$49," ")</f>
        <v xml:space="preserve"> </v>
      </c>
      <c r="G38" s="240" t="str">
        <f t="shared" si="11"/>
        <v xml:space="preserve"> </v>
      </c>
      <c r="H38" s="880">
        <f>'Rents '!H48</f>
        <v>0</v>
      </c>
      <c r="I38" s="240" t="str">
        <f t="shared" si="9"/>
        <v xml:space="preserve"> </v>
      </c>
      <c r="J38" s="269" t="str">
        <f t="shared" si="10"/>
        <v xml:space="preserve"> </v>
      </c>
      <c r="T38" s="112"/>
    </row>
    <row r="39" spans="1:20" ht="12.75" customHeight="1" thickBot="1">
      <c r="A39" s="273"/>
      <c r="B39" s="274"/>
      <c r="C39" s="274"/>
      <c r="D39" s="328">
        <f>SUM(D32:D38)</f>
        <v>0</v>
      </c>
      <c r="E39" s="275" t="s">
        <v>801</v>
      </c>
      <c r="F39" s="329"/>
      <c r="G39" s="329"/>
      <c r="H39" s="329"/>
      <c r="I39" s="330">
        <f>SUM(I32:I38)</f>
        <v>0</v>
      </c>
      <c r="J39" s="331">
        <f>SUM(J32:J38)</f>
        <v>0</v>
      </c>
      <c r="T39" s="112"/>
    </row>
    <row r="40" spans="1:20" ht="12.75" customHeight="1">
      <c r="A40" s="801" t="str">
        <f>IF('Rents '!A50="","",'Rents '!A50)</f>
        <v/>
      </c>
      <c r="B40" s="802" t="str">
        <f>IF('Rents '!B50="","",'Rents '!B50)</f>
        <v/>
      </c>
      <c r="C40" s="276" t="s">
        <v>654</v>
      </c>
      <c r="D40" s="232">
        <v>0</v>
      </c>
      <c r="E40" s="881">
        <v>0</v>
      </c>
      <c r="F40" s="881">
        <v>0</v>
      </c>
      <c r="G40" s="881">
        <v>0</v>
      </c>
      <c r="H40" s="880">
        <f>'Rents '!H50</f>
        <v>0</v>
      </c>
      <c r="I40" s="277" t="str">
        <f t="shared" ref="I40:I46" si="12">IF(D40&gt;0,+H40*D40," ")</f>
        <v xml:space="preserve"> </v>
      </c>
      <c r="J40" s="278" t="str">
        <f t="shared" ref="J40:J46" si="13">IF(D40&gt;0,G40*D40," ")</f>
        <v xml:space="preserve"> </v>
      </c>
      <c r="T40" s="112"/>
    </row>
    <row r="41" spans="1:20" ht="12.75" customHeight="1">
      <c r="A41" s="259"/>
      <c r="B41" s="112"/>
      <c r="C41" s="260" t="s">
        <v>145</v>
      </c>
      <c r="D41" s="232">
        <v>0</v>
      </c>
      <c r="E41" s="238" t="str">
        <f>IF(D41=0," ",IF($B$40="TCAC",VLOOKUP($A$40,TCACrents,2,FALSE),IF($B$40="CalHFA",VLOOKUP($A$40,CalHFArents,2,FALSE),VLOOKUP($A$40,Otherrents,2,FALSE))))</f>
        <v xml:space="preserve"> </v>
      </c>
      <c r="F41" s="239" t="str">
        <f>IF(D41&gt;0,-Misc.!$X$49," ")</f>
        <v xml:space="preserve"> </v>
      </c>
      <c r="G41" s="238" t="str">
        <f t="shared" ref="G41:G46" si="14">IF(D41&gt;0,SUM(E41:F41)," ")</f>
        <v xml:space="preserve"> </v>
      </c>
      <c r="H41" s="880">
        <f>'Rents '!H51</f>
        <v>0</v>
      </c>
      <c r="I41" s="238" t="str">
        <f t="shared" si="12"/>
        <v xml:space="preserve"> </v>
      </c>
      <c r="J41" s="258" t="str">
        <f t="shared" si="13"/>
        <v xml:space="preserve"> </v>
      </c>
      <c r="T41" s="112"/>
    </row>
    <row r="42" spans="1:20" ht="12.75" customHeight="1">
      <c r="A42" s="571" t="s">
        <v>413</v>
      </c>
      <c r="B42" s="261"/>
      <c r="C42" s="260" t="s">
        <v>146</v>
      </c>
      <c r="D42" s="232">
        <v>0</v>
      </c>
      <c r="E42" s="238" t="str">
        <f>IF(D42=0," ",IF($B$40="TCAC",VLOOKUP($A$40,TCACrents,3,FALSE),IF($B$40="CalHFA",VLOOKUP($A$40,CalHFArents,3,FALSE),VLOOKUP($A$40,Otherrents,3,FALSE))))</f>
        <v xml:space="preserve"> </v>
      </c>
      <c r="F42" s="239" t="str">
        <f>IF(D42&gt;0,-Misc.!$AA$49," ")</f>
        <v xml:space="preserve"> </v>
      </c>
      <c r="G42" s="238" t="str">
        <f t="shared" si="14"/>
        <v xml:space="preserve"> </v>
      </c>
      <c r="H42" s="880">
        <f>'Rents '!H52</f>
        <v>0</v>
      </c>
      <c r="I42" s="238" t="str">
        <f t="shared" si="12"/>
        <v xml:space="preserve"> </v>
      </c>
      <c r="J42" s="258" t="str">
        <f t="shared" si="13"/>
        <v xml:space="preserve"> </v>
      </c>
      <c r="T42" s="112"/>
    </row>
    <row r="43" spans="1:20" ht="12.75" customHeight="1">
      <c r="A43" s="571" t="s">
        <v>414</v>
      </c>
      <c r="B43" s="572" t="e">
        <f>+D47/D$48</f>
        <v>#DIV/0!</v>
      </c>
      <c r="C43" s="260" t="s">
        <v>147</v>
      </c>
      <c r="D43" s="232">
        <v>0</v>
      </c>
      <c r="E43" s="238" t="str">
        <f>IF(D43=0," ",IF($B$40="TCAC",VLOOKUP($A$40,TCACrents,4,FALSE),IF($B$40="CalHFA",VLOOKUP($A$40,CalHFArents,4,FALSE),VLOOKUP($A$40,Otherrents,4,FALSE))))</f>
        <v xml:space="preserve"> </v>
      </c>
      <c r="F43" s="239" t="str">
        <f>IF(D43&gt;0,-Misc.!$AD$49," ")</f>
        <v xml:space="preserve"> </v>
      </c>
      <c r="G43" s="238" t="str">
        <f t="shared" si="14"/>
        <v xml:space="preserve"> </v>
      </c>
      <c r="H43" s="880">
        <f>'Rents '!H53</f>
        <v>0</v>
      </c>
      <c r="I43" s="238" t="str">
        <f t="shared" si="12"/>
        <v xml:space="preserve"> </v>
      </c>
      <c r="J43" s="258" t="str">
        <f t="shared" si="13"/>
        <v xml:space="preserve"> </v>
      </c>
      <c r="T43" s="112"/>
    </row>
    <row r="44" spans="1:20" ht="12.75" customHeight="1">
      <c r="A44" s="264"/>
      <c r="B44" s="112"/>
      <c r="C44" s="260" t="s">
        <v>148</v>
      </c>
      <c r="D44" s="232">
        <v>0</v>
      </c>
      <c r="E44" s="238" t="str">
        <f>IF(D44=0," ",IF($B$40="TCAC",VLOOKUP($A$40,TCACrents,5,FALSE),IF($B$40="CalHFA",VLOOKUP($A$40,CalHFArents,5,FALSE),VLOOKUP($A$40,Otherrents,5,FALSE))))</f>
        <v xml:space="preserve"> </v>
      </c>
      <c r="F44" s="239" t="str">
        <f>IF(D44&gt;0,-Misc.!$AG$49," ")</f>
        <v xml:space="preserve"> </v>
      </c>
      <c r="G44" s="238" t="str">
        <f t="shared" si="14"/>
        <v xml:space="preserve"> </v>
      </c>
      <c r="H44" s="880">
        <f>'Rents '!H54</f>
        <v>0</v>
      </c>
      <c r="I44" s="238" t="str">
        <f t="shared" si="12"/>
        <v xml:space="preserve"> </v>
      </c>
      <c r="J44" s="258" t="str">
        <f t="shared" si="13"/>
        <v xml:space="preserve"> </v>
      </c>
      <c r="T44" s="112"/>
    </row>
    <row r="45" spans="1:20" ht="12.75" customHeight="1">
      <c r="A45" s="264"/>
      <c r="B45" s="112"/>
      <c r="C45" s="260" t="s">
        <v>149</v>
      </c>
      <c r="D45" s="232">
        <v>0</v>
      </c>
      <c r="E45" s="238" t="str">
        <f>IF(D45=0," ",IF($B$40="TCAC",VLOOKUP($A$40,TCACrents,6,FALSE),IF($B$40="CalHFA",VLOOKUP($A$40,CalHFArents,6,FALSE),VLOOKUP($A$40,Otherrents,6,FALSE))))</f>
        <v xml:space="preserve"> </v>
      </c>
      <c r="F45" s="239" t="str">
        <f>IF(D45&gt;0,-Misc.!$AJ$49," ")</f>
        <v xml:space="preserve"> </v>
      </c>
      <c r="G45" s="238" t="str">
        <f t="shared" si="14"/>
        <v xml:space="preserve"> </v>
      </c>
      <c r="H45" s="880">
        <f>'Rents '!H55</f>
        <v>0</v>
      </c>
      <c r="I45" s="238" t="str">
        <f t="shared" si="12"/>
        <v xml:space="preserve"> </v>
      </c>
      <c r="J45" s="258" t="str">
        <f t="shared" si="13"/>
        <v xml:space="preserve"> </v>
      </c>
      <c r="T45" s="112"/>
    </row>
    <row r="46" spans="1:20" ht="12.75" customHeight="1" thickBot="1">
      <c r="A46" s="264"/>
      <c r="B46" s="112"/>
      <c r="C46" s="268" t="s">
        <v>150</v>
      </c>
      <c r="D46" s="232">
        <v>0</v>
      </c>
      <c r="E46" s="240" t="str">
        <f>IF(D46=0," ",IF($B$40="TCAC",VLOOKUP($A$40,TCACrents,7,FALSE),IF($B$40="CalHFA",VLOOKUP($A$40,CalHFArents,7,FALSE),VLOOKUP($A$40,Otherrents,7,FALSE))))</f>
        <v xml:space="preserve"> </v>
      </c>
      <c r="F46" s="241" t="str">
        <f>IF(D46&gt;0,-Misc.!$AM$49," ")</f>
        <v xml:space="preserve"> </v>
      </c>
      <c r="G46" s="240" t="str">
        <f t="shared" si="14"/>
        <v xml:space="preserve"> </v>
      </c>
      <c r="H46" s="880">
        <f>'Rents '!H56</f>
        <v>0</v>
      </c>
      <c r="I46" s="240" t="str">
        <f t="shared" si="12"/>
        <v xml:space="preserve"> </v>
      </c>
      <c r="J46" s="269" t="str">
        <f t="shared" si="13"/>
        <v xml:space="preserve"> </v>
      </c>
      <c r="S46" s="112"/>
      <c r="T46" s="112"/>
    </row>
    <row r="47" spans="1:20" ht="12.75" customHeight="1" thickBot="1">
      <c r="A47" s="273"/>
      <c r="B47" s="274"/>
      <c r="C47" s="274"/>
      <c r="D47" s="328">
        <f>SUM(D40:D46)</f>
        <v>0</v>
      </c>
      <c r="E47" s="275" t="s">
        <v>801</v>
      </c>
      <c r="F47" s="329"/>
      <c r="G47" s="329"/>
      <c r="H47" s="329"/>
      <c r="I47" s="330">
        <f>SUM(I40:I46)</f>
        <v>0</v>
      </c>
      <c r="J47" s="331">
        <f>SUM(J40:J46)</f>
        <v>0</v>
      </c>
      <c r="S47" s="112"/>
      <c r="T47" s="112"/>
    </row>
    <row r="48" spans="1:20" ht="12.75" customHeight="1" thickBot="1">
      <c r="A48" s="273" t="s">
        <v>1416</v>
      </c>
      <c r="B48" s="274"/>
      <c r="C48" s="274"/>
      <c r="D48" s="328">
        <f>D15+D23+D31+D39+D47</f>
        <v>0</v>
      </c>
      <c r="E48" s="275" t="s">
        <v>208</v>
      </c>
      <c r="F48" s="649"/>
      <c r="G48" s="329"/>
      <c r="H48" s="329"/>
      <c r="I48" s="330">
        <f>+I15+I23+I31+I39+I47</f>
        <v>0</v>
      </c>
      <c r="J48" s="591">
        <f>+J15+J23+J31+J39+J47</f>
        <v>0</v>
      </c>
      <c r="S48" s="112"/>
      <c r="T48" s="112"/>
    </row>
    <row r="49" spans="1:1">
      <c r="A49" s="297"/>
    </row>
    <row r="50" spans="1:1">
      <c r="A50" s="297"/>
    </row>
    <row r="51" spans="1:1">
      <c r="A51" s="297"/>
    </row>
    <row r="52" spans="1:1">
      <c r="A52" s="297"/>
    </row>
    <row r="53" spans="1:1">
      <c r="A53" s="320"/>
    </row>
  </sheetData>
  <sheetProtection password="C9E9" sheet="1" objects="1" scenarios="1"/>
  <mergeCells count="12">
    <mergeCell ref="I4:I7"/>
    <mergeCell ref="J4:J7"/>
    <mergeCell ref="A1:J1"/>
    <mergeCell ref="A2:J3"/>
    <mergeCell ref="A4:A7"/>
    <mergeCell ref="B4:B7"/>
    <mergeCell ref="C4:C7"/>
    <mergeCell ref="D4:D7"/>
    <mergeCell ref="E4:E7"/>
    <mergeCell ref="F4:F7"/>
    <mergeCell ref="G4:G7"/>
    <mergeCell ref="H4:H7"/>
  </mergeCells>
  <conditionalFormatting sqref="D8:D14">
    <cfRule type="expression" dxfId="76" priority="10">
      <formula>(OR($A$8="",$A$8=80%,$A$8=70%,$A$8=65%,$A$8=60%,$A$8=55%,$A$8=50%,$A$8=45%,$A$8=40%,$A$8=35%))</formula>
    </cfRule>
  </conditionalFormatting>
  <conditionalFormatting sqref="E8:G8">
    <cfRule type="expression" dxfId="75" priority="9">
      <formula>(OR($A$8="",$A$8=80%,$A$8=70%,$A$8=65%,$A$8=60%,$A$8=55%,$A$8=50%,$A$8=45%,$A$8=40%,$A$8=35%))</formula>
    </cfRule>
  </conditionalFormatting>
  <conditionalFormatting sqref="D16:D22">
    <cfRule type="expression" dxfId="74" priority="8">
      <formula>(OR($A$16="",$A$16=80%,$A$16=70%,$A$16=65%,$A$16=60%,$A$16=55%,$A$16=50%,$A$16=45%,$A$16=40%,$A$16=35%))</formula>
    </cfRule>
  </conditionalFormatting>
  <conditionalFormatting sqref="E16:G16">
    <cfRule type="expression" dxfId="73" priority="7">
      <formula>(OR($A$16="",$A$16=80%,$A$16=70%,$A$16=65%,$A$16=60%,$A$16=55%,$A$16=50%,$A$16=45%,$A$16=40%,$A$16=35%))</formula>
    </cfRule>
  </conditionalFormatting>
  <conditionalFormatting sqref="D24:D30">
    <cfRule type="expression" dxfId="72" priority="6">
      <formula>(OR($A$24="",$A$24=80%,$A$24=70%,$A$24=65%,$A$24=60%,$A$24=55%,$A$24=50%,$A$24=45%,$A$24=40%,$A$24=35%))</formula>
    </cfRule>
  </conditionalFormatting>
  <conditionalFormatting sqref="E24:G24">
    <cfRule type="expression" dxfId="71" priority="5">
      <formula>(OR($A$24="",$A$24=80%,$A$24=70%,$A$24=65%,$A$24=60%,$A$24=55%,$A$24=50%,$A$24=45%,$A$24=40%,$A$24=35%))</formula>
    </cfRule>
  </conditionalFormatting>
  <conditionalFormatting sqref="D32:D38">
    <cfRule type="expression" dxfId="70" priority="4">
      <formula>(OR($A$32="",$A$32=80%,$A$32=70%,$A$32=65%,$A$32=60%,$A$32=55%,$A$32=50%,$A$32=45%,$A$32=40%,$A$32=35%))</formula>
    </cfRule>
  </conditionalFormatting>
  <conditionalFormatting sqref="E32:G32">
    <cfRule type="expression" dxfId="69" priority="3">
      <formula>(OR($A$32="",$A$32=80%,$A$32=70%,$A$32=65%,$A$32=60%,$A$32=55%,$A$32=50%,$A$32=45%,$A$32=40%,$A$32=35%))</formula>
    </cfRule>
  </conditionalFormatting>
  <conditionalFormatting sqref="D40:D46">
    <cfRule type="expression" dxfId="68" priority="2">
      <formula>(OR($A$40="",$A$40=80%,$A$40=70%,$A$40=65%,$A$40=60%,$A$40=55%,$A$40=50%,$A$40=45%,$A$40=40%,$A$40=35%))</formula>
    </cfRule>
  </conditionalFormatting>
  <conditionalFormatting sqref="E40:G40">
    <cfRule type="expression" dxfId="67" priority="1">
      <formula>(OR($A$40="",$A$40=80%,$A$40=70%,$A$40=65%,$A$40=60%,$A$40=55%,$A$40=50%,$A$40=45%,$A$40=40%,$A$40=35%))</formula>
    </cfRule>
  </conditionalFormatting>
  <dataValidations count="1">
    <dataValidation type="date" operator="greaterThan" allowBlank="1" showInputMessage="1" showErrorMessage="1" errorTitle="Need Application Date" error="Your entry must be a date after January 1, 2006." promptTitle="Date of Application or Update" prompt="Enter the date of this application or application update." sqref="K1:O1">
      <formula1>38718</formula1>
    </dataValidation>
  </dataValidations>
  <printOptions horizontalCentered="1"/>
  <pageMargins left="0.25" right="0.25" top="0.5" bottom="0.35" header="0" footer="0"/>
  <pageSetup scale="87" orientation="portrait" r:id="rId1"/>
  <headerFooter>
    <oddFooter>&amp;CPage &amp;P&amp;RUniversal Application - &amp;A</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O154"/>
  <sheetViews>
    <sheetView showGridLines="0" zoomScaleNormal="100" workbookViewId="0">
      <selection activeCell="A2" sqref="A2:L2"/>
    </sheetView>
  </sheetViews>
  <sheetFormatPr defaultRowHeight="12.75"/>
  <cols>
    <col min="1" max="1" width="9.28515625" bestFit="1" customWidth="1"/>
    <col min="3" max="3" width="9.7109375" customWidth="1"/>
    <col min="4" max="4" width="10" customWidth="1"/>
    <col min="5" max="5" width="10.5703125" customWidth="1"/>
    <col min="6" max="6" width="11.5703125" customWidth="1"/>
    <col min="8" max="8" width="7.5703125" customWidth="1"/>
    <col min="9" max="9" width="9.7109375" customWidth="1"/>
    <col min="10" max="10" width="10.5703125" customWidth="1"/>
    <col min="11" max="11" width="11.28515625" customWidth="1"/>
    <col min="12" max="12" width="9.85546875" bestFit="1" customWidth="1"/>
    <col min="14" max="14" width="9.140625" hidden="1" customWidth="1"/>
  </cols>
  <sheetData>
    <row r="1" spans="1:15" s="16" customFormat="1" ht="15.75">
      <c r="A1" s="1560">
        <f>'General '!A45</f>
        <v>0</v>
      </c>
      <c r="B1" s="1561"/>
      <c r="C1" s="1561"/>
      <c r="D1" s="1561"/>
      <c r="E1" s="1561"/>
      <c r="F1" s="1561"/>
      <c r="G1" s="1561"/>
      <c r="H1" s="1561"/>
      <c r="I1" s="1561"/>
      <c r="J1" s="1561"/>
      <c r="K1" s="1561"/>
      <c r="L1" s="1562"/>
      <c r="M1" s="229"/>
      <c r="N1" s="229"/>
      <c r="O1" s="229"/>
    </row>
    <row r="2" spans="1:15" s="16" customFormat="1" ht="18" customHeight="1" thickBot="1">
      <c r="A2" s="1992" t="s">
        <v>40</v>
      </c>
      <c r="B2" s="1993"/>
      <c r="C2" s="1993"/>
      <c r="D2" s="1993"/>
      <c r="E2" s="1993"/>
      <c r="F2" s="1993"/>
      <c r="G2" s="1993"/>
      <c r="H2" s="1993"/>
      <c r="I2" s="1993"/>
      <c r="J2" s="1993"/>
      <c r="K2" s="1993"/>
      <c r="L2" s="1994"/>
      <c r="M2" s="242"/>
      <c r="N2" s="242"/>
      <c r="O2" s="242"/>
    </row>
    <row r="3" spans="1:15" ht="16.5" thickBot="1">
      <c r="A3" s="2005" t="s">
        <v>311</v>
      </c>
      <c r="B3" s="2006"/>
      <c r="C3" s="2006"/>
      <c r="D3" s="2006"/>
      <c r="E3" s="2006"/>
      <c r="F3" s="2006"/>
      <c r="G3" s="2006"/>
      <c r="H3" s="2006"/>
      <c r="I3" s="2006"/>
      <c r="J3" s="2006"/>
      <c r="K3" s="2006"/>
      <c r="L3" s="2007"/>
    </row>
    <row r="4" spans="1:15">
      <c r="A4" s="65"/>
      <c r="B4" s="68"/>
      <c r="C4" s="68"/>
      <c r="D4" s="68"/>
      <c r="E4" s="68"/>
      <c r="F4" s="68"/>
      <c r="G4" s="68"/>
      <c r="H4" s="68"/>
      <c r="I4" s="68"/>
      <c r="J4" s="68"/>
      <c r="K4" s="68"/>
      <c r="L4" s="91"/>
    </row>
    <row r="5" spans="1:15" ht="29.25" customHeight="1">
      <c r="A5" s="1997" t="s">
        <v>255</v>
      </c>
      <c r="B5" s="1998"/>
      <c r="C5" s="1998"/>
      <c r="D5" s="1998"/>
      <c r="E5" s="1998"/>
      <c r="F5" s="1998"/>
      <c r="G5" s="1998"/>
      <c r="H5" s="1998"/>
      <c r="I5" s="1998"/>
      <c r="J5" s="1998"/>
      <c r="K5" s="1998"/>
      <c r="L5" s="1999"/>
    </row>
    <row r="6" spans="1:15">
      <c r="A6" s="10"/>
      <c r="L6" s="11"/>
    </row>
    <row r="7" spans="1:15" ht="26.25" customHeight="1">
      <c r="A7" s="1997" t="s">
        <v>252</v>
      </c>
      <c r="B7" s="1998"/>
      <c r="C7" s="1998"/>
      <c r="D7" s="1998"/>
      <c r="E7" s="1998"/>
      <c r="F7" s="1998"/>
      <c r="G7" s="1998"/>
      <c r="H7" s="1998"/>
      <c r="I7" s="1998"/>
      <c r="J7" s="1998"/>
      <c r="K7" s="1998"/>
      <c r="L7" s="1999"/>
    </row>
    <row r="8" spans="1:15">
      <c r="A8" s="10"/>
      <c r="F8" s="112"/>
      <c r="K8" s="564" t="str">
        <f>'General '!AI11</f>
        <v>UA Version 5/8/19</v>
      </c>
      <c r="L8" s="11"/>
    </row>
    <row r="9" spans="1:15" ht="15.75">
      <c r="A9" s="2000" t="s">
        <v>427</v>
      </c>
      <c r="B9" s="2001"/>
      <c r="C9" s="2001"/>
      <c r="D9" s="2001"/>
      <c r="E9" s="514">
        <v>1</v>
      </c>
      <c r="F9" s="337" t="s">
        <v>797</v>
      </c>
      <c r="G9" s="338"/>
      <c r="H9" s="515"/>
      <c r="I9" s="339" t="s">
        <v>204</v>
      </c>
      <c r="J9" s="340"/>
      <c r="L9" s="11"/>
    </row>
    <row r="10" spans="1:15" ht="14.45" customHeight="1">
      <c r="A10" s="10"/>
      <c r="F10" s="112"/>
      <c r="L10" s="11"/>
    </row>
    <row r="11" spans="1:15" ht="24.75" customHeight="1">
      <c r="A11" s="10"/>
      <c r="D11" s="2008" t="s">
        <v>60</v>
      </c>
      <c r="E11" s="2009"/>
      <c r="F11" s="2009"/>
      <c r="G11" s="2012"/>
      <c r="I11" s="2008" t="s">
        <v>60</v>
      </c>
      <c r="J11" s="2009"/>
      <c r="K11" s="2009"/>
      <c r="L11" s="2010"/>
    </row>
    <row r="12" spans="1:15" ht="15.75" customHeight="1">
      <c r="A12" s="10"/>
      <c r="D12" s="295"/>
      <c r="F12" s="112"/>
      <c r="G12" s="4"/>
      <c r="I12" s="295"/>
      <c r="K12" s="112"/>
      <c r="L12" s="11"/>
    </row>
    <row r="13" spans="1:15" ht="15.75" customHeight="1">
      <c r="A13" s="10"/>
      <c r="D13" s="202" t="s">
        <v>200</v>
      </c>
      <c r="E13" s="6"/>
      <c r="F13" s="2013"/>
      <c r="G13" s="2013"/>
      <c r="I13" s="202" t="s">
        <v>200</v>
      </c>
      <c r="J13" s="6"/>
      <c r="K13" s="2014"/>
      <c r="L13" s="2015"/>
    </row>
    <row r="14" spans="1:15" ht="15.75" customHeight="1">
      <c r="A14" s="2016" t="s">
        <v>229</v>
      </c>
      <c r="B14" s="1925" t="s">
        <v>329</v>
      </c>
      <c r="C14" s="1925" t="s">
        <v>179</v>
      </c>
      <c r="D14" s="1972" t="s">
        <v>195</v>
      </c>
      <c r="E14" s="1972" t="s">
        <v>35</v>
      </c>
      <c r="F14" s="1972" t="s">
        <v>196</v>
      </c>
      <c r="G14" s="1972" t="s">
        <v>416</v>
      </c>
      <c r="H14" s="2011"/>
      <c r="I14" s="1972" t="s">
        <v>195</v>
      </c>
      <c r="J14" s="1972" t="s">
        <v>35</v>
      </c>
      <c r="K14" s="1972" t="s">
        <v>196</v>
      </c>
      <c r="L14" s="1975" t="s">
        <v>416</v>
      </c>
    </row>
    <row r="15" spans="1:15" ht="15.75" customHeight="1">
      <c r="A15" s="2017"/>
      <c r="B15" s="1925"/>
      <c r="C15" s="1925"/>
      <c r="D15" s="1972"/>
      <c r="E15" s="1972"/>
      <c r="F15" s="1972"/>
      <c r="G15" s="1972"/>
      <c r="H15" s="2011"/>
      <c r="I15" s="1972"/>
      <c r="J15" s="1972"/>
      <c r="K15" s="1972"/>
      <c r="L15" s="1975"/>
    </row>
    <row r="16" spans="1:15" ht="15.75" customHeight="1">
      <c r="A16" s="2017"/>
      <c r="B16" s="1925"/>
      <c r="C16" s="1925"/>
      <c r="D16" s="1972"/>
      <c r="E16" s="1972"/>
      <c r="F16" s="1972"/>
      <c r="G16" s="1972"/>
      <c r="H16" s="2011"/>
      <c r="I16" s="1972"/>
      <c r="J16" s="1972"/>
      <c r="K16" s="1972"/>
      <c r="L16" s="1975"/>
    </row>
    <row r="17" spans="1:14" ht="15.75" customHeight="1">
      <c r="A17" s="2018"/>
      <c r="B17" s="1925"/>
      <c r="C17" s="1925"/>
      <c r="D17" s="1972"/>
      <c r="E17" s="1972"/>
      <c r="F17" s="1972"/>
      <c r="G17" s="1972"/>
      <c r="H17" s="2011"/>
      <c r="I17" s="1972"/>
      <c r="J17" s="1972"/>
      <c r="K17" s="1972"/>
      <c r="L17" s="1975"/>
    </row>
    <row r="18" spans="1:14" ht="15.75" customHeight="1">
      <c r="A18" s="341" t="str">
        <f>IF('Rents '!A18="","",'Rents '!A18)</f>
        <v/>
      </c>
      <c r="B18" s="341" t="str">
        <f>IF('Rents '!B18="","",'Rents '!B18)</f>
        <v/>
      </c>
      <c r="C18" s="257" t="s">
        <v>654</v>
      </c>
      <c r="D18" s="333">
        <v>0</v>
      </c>
      <c r="E18" s="199" t="str">
        <f>IF(F18&gt;0,IF($E$9=1,D18-'Rents '!G18,D18-'Rents '!H18)," ")</f>
        <v xml:space="preserve"> </v>
      </c>
      <c r="F18" s="217">
        <v>0</v>
      </c>
      <c r="G18" s="199" t="str">
        <f t="shared" ref="G18:G24" si="0">IF(F18&gt;0,+E18*F18," ")</f>
        <v xml:space="preserve"> </v>
      </c>
      <c r="H18" s="343"/>
      <c r="I18" s="333">
        <v>0</v>
      </c>
      <c r="J18" s="199" t="str">
        <f>IF(K18&gt;0,IF($E$9=1,I18-'Rents '!G18,I18-'Rents '!H18)," ")</f>
        <v xml:space="preserve"> </v>
      </c>
      <c r="K18" s="217">
        <v>0</v>
      </c>
      <c r="L18" s="203" t="str">
        <f t="shared" ref="L18:L24" si="1">IF(K18&gt;0,+J18*K18," ")</f>
        <v xml:space="preserve"> </v>
      </c>
      <c r="N18" s="800">
        <f>'Rents '!D18+'NPLH Rents'!D8</f>
        <v>0</v>
      </c>
    </row>
    <row r="19" spans="1:14" ht="15.75" customHeight="1">
      <c r="A19" s="259"/>
      <c r="B19" s="286"/>
      <c r="C19" s="260" t="s">
        <v>145</v>
      </c>
      <c r="D19" s="333">
        <v>0</v>
      </c>
      <c r="E19" s="199" t="str">
        <f>IF(F19&gt;0,IF($E$9=1,D19-'Rents '!G19,D19-'Rents '!H19)," ")</f>
        <v xml:space="preserve"> </v>
      </c>
      <c r="F19" s="217">
        <v>0</v>
      </c>
      <c r="G19" s="199" t="str">
        <f t="shared" si="0"/>
        <v xml:space="preserve"> </v>
      </c>
      <c r="H19" s="343"/>
      <c r="I19" s="333">
        <v>0</v>
      </c>
      <c r="J19" s="199" t="str">
        <f>IF(K19&gt;0,IF($E$9=1,I19-'Rents '!G19,I19-'Rents '!H19)," ")</f>
        <v xml:space="preserve"> </v>
      </c>
      <c r="K19" s="217">
        <v>0</v>
      </c>
      <c r="L19" s="203" t="str">
        <f t="shared" si="1"/>
        <v xml:space="preserve"> </v>
      </c>
      <c r="N19" s="800">
        <f>'Rents '!D19+'NPLH Rents'!D9</f>
        <v>0</v>
      </c>
    </row>
    <row r="20" spans="1:14" ht="15.75" customHeight="1">
      <c r="A20" s="344"/>
      <c r="B20" s="287"/>
      <c r="C20" s="260" t="s">
        <v>146</v>
      </c>
      <c r="D20" s="333">
        <v>0</v>
      </c>
      <c r="E20" s="199" t="str">
        <f>IF(F20&gt;0,IF($E$9=1,D20-'Rents '!G20,D20-'Rents '!H20)," ")</f>
        <v xml:space="preserve"> </v>
      </c>
      <c r="F20" s="217">
        <v>0</v>
      </c>
      <c r="G20" s="199" t="str">
        <f t="shared" si="0"/>
        <v xml:space="preserve"> </v>
      </c>
      <c r="H20" s="343"/>
      <c r="I20" s="333">
        <v>0</v>
      </c>
      <c r="J20" s="199" t="str">
        <f>IF(K20&gt;0,IF($E$9=1,I20-'Rents '!G20,I20-'Rents '!H20)," ")</f>
        <v xml:space="preserve"> </v>
      </c>
      <c r="K20" s="217">
        <v>0</v>
      </c>
      <c r="L20" s="203" t="str">
        <f t="shared" si="1"/>
        <v xml:space="preserve"> </v>
      </c>
      <c r="N20" s="800">
        <f>'Rents '!D20+'NPLH Rents'!D10</f>
        <v>0</v>
      </c>
    </row>
    <row r="21" spans="1:14" ht="15.75" customHeight="1">
      <c r="A21" s="264"/>
      <c r="B21" s="345"/>
      <c r="C21" s="260" t="s">
        <v>147</v>
      </c>
      <c r="D21" s="333">
        <v>0</v>
      </c>
      <c r="E21" s="199" t="str">
        <f>IF(F21&gt;0,IF($E$9=1,D21-'Rents '!G21,D21-'Rents '!H21)," ")</f>
        <v xml:space="preserve"> </v>
      </c>
      <c r="F21" s="217">
        <v>0</v>
      </c>
      <c r="G21" s="199" t="str">
        <f t="shared" si="0"/>
        <v xml:space="preserve"> </v>
      </c>
      <c r="H21" s="343"/>
      <c r="I21" s="333">
        <v>0</v>
      </c>
      <c r="J21" s="199" t="str">
        <f>IF(K21&gt;0,IF($E$9=1,I21-'Rents '!G21,I21-'Rents '!H21)," ")</f>
        <v xml:space="preserve"> </v>
      </c>
      <c r="K21" s="217">
        <v>0</v>
      </c>
      <c r="L21" s="203" t="str">
        <f t="shared" si="1"/>
        <v xml:space="preserve"> </v>
      </c>
      <c r="N21" s="800">
        <f>'Rents '!D21+'NPLH Rents'!D11</f>
        <v>0</v>
      </c>
    </row>
    <row r="22" spans="1:14" ht="15.75" customHeight="1">
      <c r="A22" s="264"/>
      <c r="B22" s="286"/>
      <c r="C22" s="260" t="s">
        <v>148</v>
      </c>
      <c r="D22" s="333">
        <v>0</v>
      </c>
      <c r="E22" s="199" t="str">
        <f>IF(F22&gt;0,IF($E$9=1,D22-'Rents '!G22,D22-'Rents '!H22)," ")</f>
        <v xml:space="preserve"> </v>
      </c>
      <c r="F22" s="217">
        <v>0</v>
      </c>
      <c r="G22" s="199" t="str">
        <f t="shared" si="0"/>
        <v xml:space="preserve"> </v>
      </c>
      <c r="H22" s="343"/>
      <c r="I22" s="333">
        <v>0</v>
      </c>
      <c r="J22" s="199" t="str">
        <f>IF(K22&gt;0,IF($E$9=1,I22-'Rents '!G22,I22-'Rents '!H22)," ")</f>
        <v xml:space="preserve"> </v>
      </c>
      <c r="K22" s="217">
        <v>0</v>
      </c>
      <c r="L22" s="203" t="str">
        <f t="shared" si="1"/>
        <v xml:space="preserve"> </v>
      </c>
      <c r="N22" s="800">
        <f>'Rents '!D22+'NPLH Rents'!D12</f>
        <v>0</v>
      </c>
    </row>
    <row r="23" spans="1:14" ht="15.75" customHeight="1">
      <c r="A23" s="264"/>
      <c r="B23" s="286"/>
      <c r="C23" s="260" t="s">
        <v>149</v>
      </c>
      <c r="D23" s="333">
        <v>0</v>
      </c>
      <c r="E23" s="199" t="str">
        <f>IF(F23&gt;0,IF($E$9=1,D23-'Rents '!G23,D23-'Rents '!H23)," ")</f>
        <v xml:space="preserve"> </v>
      </c>
      <c r="F23" s="217">
        <v>0</v>
      </c>
      <c r="G23" s="199" t="str">
        <f t="shared" si="0"/>
        <v xml:space="preserve"> </v>
      </c>
      <c r="H23" s="343"/>
      <c r="I23" s="333">
        <v>0</v>
      </c>
      <c r="J23" s="199" t="str">
        <f>IF(K23&gt;0,IF($E$9=1,I23-'Rents '!G23,I23-'Rents '!H23)," ")</f>
        <v xml:space="preserve"> </v>
      </c>
      <c r="K23" s="217">
        <v>0</v>
      </c>
      <c r="L23" s="203" t="str">
        <f t="shared" si="1"/>
        <v xml:space="preserve"> </v>
      </c>
      <c r="N23" s="800">
        <f>'Rents '!D23+'NPLH Rents'!D13</f>
        <v>0</v>
      </c>
    </row>
    <row r="24" spans="1:14" ht="15.75" customHeight="1">
      <c r="A24" s="264"/>
      <c r="B24" s="286"/>
      <c r="C24" s="260" t="s">
        <v>150</v>
      </c>
      <c r="D24" s="333">
        <v>0</v>
      </c>
      <c r="E24" s="199" t="str">
        <f>IF(F24&gt;0,IF($E$9=1,D24-'Rents '!G24,D24-'Rents '!H24)," ")</f>
        <v xml:space="preserve"> </v>
      </c>
      <c r="F24" s="217">
        <v>0</v>
      </c>
      <c r="G24" s="199" t="str">
        <f t="shared" si="0"/>
        <v xml:space="preserve"> </v>
      </c>
      <c r="H24" s="346"/>
      <c r="I24" s="333">
        <v>0</v>
      </c>
      <c r="J24" s="199" t="str">
        <f>IF(K24&gt;0,IF($E$9=1,I24-'Rents '!G24,I24-'Rents '!H24)," ")</f>
        <v xml:space="preserve"> </v>
      </c>
      <c r="K24" s="217">
        <v>0</v>
      </c>
      <c r="L24" s="203" t="str">
        <f t="shared" si="1"/>
        <v xml:space="preserve"> </v>
      </c>
      <c r="N24" s="800">
        <f>'Rents '!D24+'NPLH Rents'!D14</f>
        <v>0</v>
      </c>
    </row>
    <row r="25" spans="1:14" ht="15.75" customHeight="1">
      <c r="A25" s="347"/>
      <c r="B25" s="348"/>
      <c r="C25" s="349"/>
      <c r="D25" s="7"/>
      <c r="E25" s="7"/>
      <c r="F25" s="34"/>
      <c r="G25" s="8"/>
      <c r="I25" s="116"/>
      <c r="J25" s="7"/>
      <c r="K25" s="34"/>
      <c r="L25" s="204"/>
    </row>
    <row r="26" spans="1:14" ht="15.75" customHeight="1">
      <c r="A26" s="341" t="str">
        <f>IF('Rents '!A26="","",'Rents '!A26)</f>
        <v/>
      </c>
      <c r="B26" s="341" t="str">
        <f>IF('Rents '!B26="","",'Rents '!B26)</f>
        <v/>
      </c>
      <c r="C26" s="257" t="s">
        <v>654</v>
      </c>
      <c r="D26" s="333">
        <v>0</v>
      </c>
      <c r="E26" s="199" t="str">
        <f>IF(F26&gt;0,IF($E$9=1,D26-'Rents '!G26,D26-'Rents '!H26)," ")</f>
        <v xml:space="preserve"> </v>
      </c>
      <c r="F26" s="217">
        <v>0</v>
      </c>
      <c r="G26" s="199" t="str">
        <f t="shared" ref="G26:G32" si="2">IF(F26&gt;0,+E26*F26," ")</f>
        <v xml:space="preserve"> </v>
      </c>
      <c r="H26" s="15"/>
      <c r="I26" s="333">
        <v>0</v>
      </c>
      <c r="J26" s="199" t="str">
        <f>IF(K26&gt;0,IF($E$9=1,I26-'Rents '!G26,I26-'Rents '!H26)," ")</f>
        <v xml:space="preserve"> </v>
      </c>
      <c r="K26" s="217">
        <v>0</v>
      </c>
      <c r="L26" s="203" t="str">
        <f t="shared" ref="L26:L32" si="3">IF(K26&gt;0,+J26*K26," ")</f>
        <v xml:space="preserve"> </v>
      </c>
      <c r="N26" s="800">
        <f>'Rents '!D26+'NPLH Rents'!D16</f>
        <v>0</v>
      </c>
    </row>
    <row r="27" spans="1:14" ht="15.75" customHeight="1">
      <c r="A27" s="259"/>
      <c r="B27" s="286"/>
      <c r="C27" s="260" t="s">
        <v>145</v>
      </c>
      <c r="D27" s="333">
        <v>0</v>
      </c>
      <c r="E27" s="199" t="str">
        <f>IF(F27&gt;0,IF($E$9=1,D27-'Rents '!G27,D27-'Rents '!H27)," ")</f>
        <v xml:space="preserve"> </v>
      </c>
      <c r="F27" s="217">
        <v>0</v>
      </c>
      <c r="G27" s="199" t="str">
        <f t="shared" si="2"/>
        <v xml:space="preserve"> </v>
      </c>
      <c r="H27" s="15"/>
      <c r="I27" s="333">
        <v>0</v>
      </c>
      <c r="J27" s="199" t="str">
        <f>IF(K27&gt;0,IF($E$9=1,I27-'Rents '!G27,I27-'Rents '!H27)," ")</f>
        <v xml:space="preserve"> </v>
      </c>
      <c r="K27" s="217">
        <v>0</v>
      </c>
      <c r="L27" s="203" t="str">
        <f t="shared" si="3"/>
        <v xml:space="preserve"> </v>
      </c>
      <c r="N27" s="800">
        <f>'Rents '!D27+'NPLH Rents'!D17</f>
        <v>0</v>
      </c>
    </row>
    <row r="28" spans="1:14" ht="15.75" customHeight="1">
      <c r="A28" s="344"/>
      <c r="B28" s="287"/>
      <c r="C28" s="260" t="s">
        <v>146</v>
      </c>
      <c r="D28" s="333">
        <v>0</v>
      </c>
      <c r="E28" s="199" t="str">
        <f>IF(F28&gt;0,IF($E$9=1,D28-'Rents '!G28,D28-'Rents '!H28)," ")</f>
        <v xml:space="preserve"> </v>
      </c>
      <c r="F28" s="217">
        <v>0</v>
      </c>
      <c r="G28" s="199" t="str">
        <f t="shared" si="2"/>
        <v xml:space="preserve"> </v>
      </c>
      <c r="H28" s="15"/>
      <c r="I28" s="333">
        <v>0</v>
      </c>
      <c r="J28" s="199" t="str">
        <f>IF(K28&gt;0,IF($E$9=1,I28-'Rents '!G28,I28-'Rents '!H28)," ")</f>
        <v xml:space="preserve"> </v>
      </c>
      <c r="K28" s="217">
        <v>0</v>
      </c>
      <c r="L28" s="203" t="str">
        <f t="shared" si="3"/>
        <v xml:space="preserve"> </v>
      </c>
      <c r="N28" s="800">
        <f>'Rents '!D28+'NPLH Rents'!D18</f>
        <v>0</v>
      </c>
    </row>
    <row r="29" spans="1:14" ht="15.75" customHeight="1">
      <c r="A29" s="264"/>
      <c r="B29" s="345"/>
      <c r="C29" s="260" t="s">
        <v>147</v>
      </c>
      <c r="D29" s="333">
        <v>0</v>
      </c>
      <c r="E29" s="199" t="str">
        <f>IF(F29&gt;0,IF($E$9=1,D29-'Rents '!G29,D29-'Rents '!H29)," ")</f>
        <v xml:space="preserve"> </v>
      </c>
      <c r="F29" s="217">
        <v>0</v>
      </c>
      <c r="G29" s="199" t="str">
        <f t="shared" si="2"/>
        <v xml:space="preserve"> </v>
      </c>
      <c r="H29" s="15"/>
      <c r="I29" s="333">
        <v>0</v>
      </c>
      <c r="J29" s="199" t="str">
        <f>IF(K29&gt;0,IF($E$9=1,I29-'Rents '!G29,I29-'Rents '!H29)," ")</f>
        <v xml:space="preserve"> </v>
      </c>
      <c r="K29" s="217">
        <v>0</v>
      </c>
      <c r="L29" s="203" t="str">
        <f t="shared" si="3"/>
        <v xml:space="preserve"> </v>
      </c>
      <c r="N29" s="800">
        <f>'Rents '!D29+'NPLH Rents'!D19</f>
        <v>0</v>
      </c>
    </row>
    <row r="30" spans="1:14" ht="15.75" customHeight="1">
      <c r="A30" s="264"/>
      <c r="B30" s="286"/>
      <c r="C30" s="260" t="s">
        <v>148</v>
      </c>
      <c r="D30" s="333">
        <v>0</v>
      </c>
      <c r="E30" s="199" t="str">
        <f>IF(F30&gt;0,IF($E$9=1,D30-'Rents '!G30,D30-'Rents '!H30)," ")</f>
        <v xml:space="preserve"> </v>
      </c>
      <c r="F30" s="217">
        <v>0</v>
      </c>
      <c r="G30" s="199" t="str">
        <f t="shared" si="2"/>
        <v xml:space="preserve"> </v>
      </c>
      <c r="H30" s="15"/>
      <c r="I30" s="333">
        <v>0</v>
      </c>
      <c r="J30" s="199" t="str">
        <f>IF(K30&gt;0,IF($E$9=1,I30-'Rents '!G30,I30-'Rents '!H30)," ")</f>
        <v xml:space="preserve"> </v>
      </c>
      <c r="K30" s="217">
        <v>0</v>
      </c>
      <c r="L30" s="203" t="str">
        <f t="shared" si="3"/>
        <v xml:space="preserve"> </v>
      </c>
      <c r="N30" s="800">
        <f>'Rents '!D30+'NPLH Rents'!D20</f>
        <v>0</v>
      </c>
    </row>
    <row r="31" spans="1:14" ht="15.75" customHeight="1">
      <c r="A31" s="264"/>
      <c r="B31" s="286"/>
      <c r="C31" s="260" t="s">
        <v>149</v>
      </c>
      <c r="D31" s="333">
        <v>0</v>
      </c>
      <c r="E31" s="199" t="str">
        <f>IF(F31&gt;0,IF($E$9=1,D31-'Rents '!G31,D31-'Rents '!H31)," ")</f>
        <v xml:space="preserve"> </v>
      </c>
      <c r="F31" s="217">
        <v>0</v>
      </c>
      <c r="G31" s="199" t="str">
        <f t="shared" si="2"/>
        <v xml:space="preserve"> </v>
      </c>
      <c r="H31" s="15"/>
      <c r="I31" s="333">
        <v>0</v>
      </c>
      <c r="J31" s="199" t="str">
        <f>IF(K31&gt;0,IF($E$9=1,I31-'Rents '!G31,I31-'Rents '!H31)," ")</f>
        <v xml:space="preserve"> </v>
      </c>
      <c r="K31" s="217">
        <v>0</v>
      </c>
      <c r="L31" s="203" t="str">
        <f t="shared" si="3"/>
        <v xml:space="preserve"> </v>
      </c>
      <c r="N31" s="800">
        <f>'Rents '!D31+'NPLH Rents'!D21</f>
        <v>0</v>
      </c>
    </row>
    <row r="32" spans="1:14" ht="15.75" customHeight="1">
      <c r="A32" s="264"/>
      <c r="B32" s="286"/>
      <c r="C32" s="260" t="s">
        <v>150</v>
      </c>
      <c r="D32" s="333">
        <v>0</v>
      </c>
      <c r="E32" s="199" t="str">
        <f>IF(F32&gt;0,IF($E$9=1,D32-'Rents '!G32,D32-'Rents '!H32)," ")</f>
        <v xml:space="preserve"> </v>
      </c>
      <c r="F32" s="217">
        <v>0</v>
      </c>
      <c r="G32" s="199" t="str">
        <f t="shared" si="2"/>
        <v xml:space="preserve"> </v>
      </c>
      <c r="H32" s="15"/>
      <c r="I32" s="333">
        <v>0</v>
      </c>
      <c r="J32" s="199" t="str">
        <f>IF(K32&gt;0,IF($E$9=1,I32-'Rents '!G32,I32-'Rents '!H32)," ")</f>
        <v xml:space="preserve"> </v>
      </c>
      <c r="K32" s="217">
        <v>0</v>
      </c>
      <c r="L32" s="203" t="str">
        <f t="shared" si="3"/>
        <v xml:space="preserve"> </v>
      </c>
      <c r="N32" s="800">
        <f>'Rents '!D32+'NPLH Rents'!D22</f>
        <v>0</v>
      </c>
    </row>
    <row r="33" spans="1:14" ht="15.75" customHeight="1">
      <c r="A33" s="347"/>
      <c r="B33" s="348"/>
      <c r="C33" s="349"/>
      <c r="D33" s="7"/>
      <c r="E33" s="7"/>
      <c r="F33" s="34"/>
      <c r="G33" s="8"/>
      <c r="I33" s="116"/>
      <c r="J33" s="7"/>
      <c r="K33" s="34"/>
      <c r="L33" s="204"/>
    </row>
    <row r="34" spans="1:14" ht="15.75" customHeight="1">
      <c r="A34" s="341" t="str">
        <f>IF('Rents '!A34="","",'Rents '!A34)</f>
        <v/>
      </c>
      <c r="B34" s="341" t="str">
        <f>IF('Rents '!B34="","",'Rents '!B34)</f>
        <v/>
      </c>
      <c r="C34" s="257" t="s">
        <v>654</v>
      </c>
      <c r="D34" s="333">
        <v>0</v>
      </c>
      <c r="E34" s="199" t="str">
        <f>IF(F34&gt;0,IF($E$9=1,D34-'Rents '!G34,D34-'Rents '!H34)," ")</f>
        <v xml:space="preserve"> </v>
      </c>
      <c r="F34" s="217">
        <v>0</v>
      </c>
      <c r="G34" s="199" t="str">
        <f t="shared" ref="G34:G40" si="4">IF(F34&gt;0,+E34*F34," ")</f>
        <v xml:space="preserve"> </v>
      </c>
      <c r="H34" s="15"/>
      <c r="I34" s="333">
        <v>0</v>
      </c>
      <c r="J34" s="199" t="str">
        <f>IF(K34&gt;0,IF($E$9=1,I34-'Rents '!G34,I34-'Rents '!H34)," ")</f>
        <v xml:space="preserve"> </v>
      </c>
      <c r="K34" s="217">
        <v>0</v>
      </c>
      <c r="L34" s="203" t="str">
        <f t="shared" ref="L34:L40" si="5">IF(K34&gt;0,+J34*K34," ")</f>
        <v xml:space="preserve"> </v>
      </c>
      <c r="N34" s="800">
        <f>'Rents '!D34+'NPLH Rents'!D24</f>
        <v>0</v>
      </c>
    </row>
    <row r="35" spans="1:14" ht="15.75" customHeight="1">
      <c r="A35" s="259"/>
      <c r="B35" s="286"/>
      <c r="C35" s="260" t="s">
        <v>145</v>
      </c>
      <c r="D35" s="333">
        <v>0</v>
      </c>
      <c r="E35" s="199" t="str">
        <f>IF(F35&gt;0,IF($E$9=1,D35-'Rents '!G35,D35-'Rents '!H35)," ")</f>
        <v xml:space="preserve"> </v>
      </c>
      <c r="F35" s="217">
        <v>0</v>
      </c>
      <c r="G35" s="199" t="str">
        <f t="shared" si="4"/>
        <v xml:space="preserve"> </v>
      </c>
      <c r="H35" s="15"/>
      <c r="I35" s="333">
        <v>0</v>
      </c>
      <c r="J35" s="199" t="str">
        <f>IF(K35&gt;0,IF($E$9=1,I35-'Rents '!G35,I35-'Rents '!H35)," ")</f>
        <v xml:space="preserve"> </v>
      </c>
      <c r="K35" s="217">
        <v>0</v>
      </c>
      <c r="L35" s="203" t="str">
        <f t="shared" si="5"/>
        <v xml:space="preserve"> </v>
      </c>
      <c r="N35" s="800">
        <f>'Rents '!D35+'NPLH Rents'!D25</f>
        <v>0</v>
      </c>
    </row>
    <row r="36" spans="1:14" ht="15.75" customHeight="1">
      <c r="A36" s="344"/>
      <c r="B36" s="287"/>
      <c r="C36" s="260" t="s">
        <v>146</v>
      </c>
      <c r="D36" s="333">
        <v>0</v>
      </c>
      <c r="E36" s="199" t="str">
        <f>IF(F36&gt;0,IF($E$9=1,D36-'Rents '!G36,D36-'Rents '!H36)," ")</f>
        <v xml:space="preserve"> </v>
      </c>
      <c r="F36" s="217">
        <v>0</v>
      </c>
      <c r="G36" s="199" t="str">
        <f t="shared" si="4"/>
        <v xml:space="preserve"> </v>
      </c>
      <c r="H36" s="15"/>
      <c r="I36" s="333">
        <v>0</v>
      </c>
      <c r="J36" s="199" t="str">
        <f>IF(K36&gt;0,IF($E$9=1,I36-'Rents '!G36,I36-'Rents '!H36)," ")</f>
        <v xml:space="preserve"> </v>
      </c>
      <c r="K36" s="217">
        <v>0</v>
      </c>
      <c r="L36" s="203" t="str">
        <f t="shared" si="5"/>
        <v xml:space="preserve"> </v>
      </c>
      <c r="N36" s="800">
        <f>'Rents '!D36+'NPLH Rents'!D26</f>
        <v>0</v>
      </c>
    </row>
    <row r="37" spans="1:14" ht="15.75" customHeight="1">
      <c r="A37" s="264"/>
      <c r="B37" s="345"/>
      <c r="C37" s="260" t="s">
        <v>147</v>
      </c>
      <c r="D37" s="333">
        <v>0</v>
      </c>
      <c r="E37" s="199" t="str">
        <f>IF(F37&gt;0,IF($E$9=1,D37-'Rents '!G37,D37-'Rents '!H37)," ")</f>
        <v xml:space="preserve"> </v>
      </c>
      <c r="F37" s="217">
        <v>0</v>
      </c>
      <c r="G37" s="199" t="str">
        <f t="shared" si="4"/>
        <v xml:space="preserve"> </v>
      </c>
      <c r="H37" s="15"/>
      <c r="I37" s="333">
        <v>0</v>
      </c>
      <c r="J37" s="199" t="str">
        <f>IF(K37&gt;0,IF($E$9=1,I37-'Rents '!G37,I37-'Rents '!H37)," ")</f>
        <v xml:space="preserve"> </v>
      </c>
      <c r="K37" s="217">
        <v>0</v>
      </c>
      <c r="L37" s="203" t="str">
        <f t="shared" si="5"/>
        <v xml:space="preserve"> </v>
      </c>
      <c r="N37" s="800">
        <f>'Rents '!D37+'NPLH Rents'!D27</f>
        <v>0</v>
      </c>
    </row>
    <row r="38" spans="1:14" ht="15.75" customHeight="1">
      <c r="A38" s="264"/>
      <c r="B38" s="286"/>
      <c r="C38" s="260" t="s">
        <v>148</v>
      </c>
      <c r="D38" s="333">
        <v>0</v>
      </c>
      <c r="E38" s="199" t="str">
        <f>IF(F38&gt;0,IF($E$9=1,D38-'Rents '!G38,D38-'Rents '!H38)," ")</f>
        <v xml:space="preserve"> </v>
      </c>
      <c r="F38" s="217">
        <v>0</v>
      </c>
      <c r="G38" s="199" t="str">
        <f t="shared" si="4"/>
        <v xml:space="preserve"> </v>
      </c>
      <c r="H38" s="15"/>
      <c r="I38" s="333">
        <v>0</v>
      </c>
      <c r="J38" s="199" t="str">
        <f>IF(K38&gt;0,IF($E$9=1,I38-'Rents '!G38,I38-'Rents '!H38)," ")</f>
        <v xml:space="preserve"> </v>
      </c>
      <c r="K38" s="217">
        <v>0</v>
      </c>
      <c r="L38" s="203" t="str">
        <f t="shared" si="5"/>
        <v xml:space="preserve"> </v>
      </c>
      <c r="N38" s="800">
        <f>'Rents '!D38+'NPLH Rents'!D28</f>
        <v>0</v>
      </c>
    </row>
    <row r="39" spans="1:14" ht="15.75" customHeight="1">
      <c r="A39" s="264"/>
      <c r="B39" s="286"/>
      <c r="C39" s="260" t="s">
        <v>149</v>
      </c>
      <c r="D39" s="333">
        <v>0</v>
      </c>
      <c r="E39" s="199" t="str">
        <f>IF(F39&gt;0,IF($E$9=1,D39-'Rents '!G39,D39-'Rents '!H39)," ")</f>
        <v xml:space="preserve"> </v>
      </c>
      <c r="F39" s="217">
        <v>0</v>
      </c>
      <c r="G39" s="199" t="str">
        <f t="shared" si="4"/>
        <v xml:space="preserve"> </v>
      </c>
      <c r="H39" s="15"/>
      <c r="I39" s="333">
        <v>0</v>
      </c>
      <c r="J39" s="199" t="str">
        <f>IF(K39&gt;0,IF($E$9=1,I39-'Rents '!G39,I39-'Rents '!H39)," ")</f>
        <v xml:space="preserve"> </v>
      </c>
      <c r="K39" s="217">
        <v>0</v>
      </c>
      <c r="L39" s="203" t="str">
        <f t="shared" si="5"/>
        <v xml:space="preserve"> </v>
      </c>
      <c r="N39" s="800">
        <f>'Rents '!D39+'NPLH Rents'!D29</f>
        <v>0</v>
      </c>
    </row>
    <row r="40" spans="1:14" ht="15.75" customHeight="1">
      <c r="A40" s="264"/>
      <c r="B40" s="286"/>
      <c r="C40" s="260" t="s">
        <v>150</v>
      </c>
      <c r="D40" s="333">
        <v>0</v>
      </c>
      <c r="E40" s="199" t="str">
        <f>IF(F40&gt;0,IF($E$9=1,D40-'Rents '!G40,D40-'Rents '!H40)," ")</f>
        <v xml:space="preserve"> </v>
      </c>
      <c r="F40" s="217">
        <v>0</v>
      </c>
      <c r="G40" s="199" t="str">
        <f t="shared" si="4"/>
        <v xml:space="preserve"> </v>
      </c>
      <c r="H40" s="15"/>
      <c r="I40" s="333">
        <v>0</v>
      </c>
      <c r="J40" s="199" t="str">
        <f>IF(K40&gt;0,IF($E$9=1,I40-'Rents '!G40,I40-'Rents '!H40)," ")</f>
        <v xml:space="preserve"> </v>
      </c>
      <c r="K40" s="217">
        <v>0</v>
      </c>
      <c r="L40" s="203" t="str">
        <f t="shared" si="5"/>
        <v xml:space="preserve"> </v>
      </c>
      <c r="N40" s="800">
        <f>'Rents '!D40+'NPLH Rents'!D30</f>
        <v>0</v>
      </c>
    </row>
    <row r="41" spans="1:14" ht="15.75" customHeight="1">
      <c r="A41" s="347"/>
      <c r="B41" s="348"/>
      <c r="C41" s="350"/>
      <c r="D41" s="7"/>
      <c r="E41" s="7"/>
      <c r="F41" s="34"/>
      <c r="G41" s="8"/>
      <c r="I41" s="116"/>
      <c r="J41" s="7"/>
      <c r="K41" s="34"/>
      <c r="L41" s="204"/>
    </row>
    <row r="42" spans="1:14" ht="15.75" customHeight="1">
      <c r="A42" s="341" t="str">
        <f>IF('Rents '!A42="","",'Rents '!A42)</f>
        <v/>
      </c>
      <c r="B42" s="341" t="str">
        <f>IF('Rents '!B42="","",'Rents '!B42)</f>
        <v/>
      </c>
      <c r="C42" s="257" t="s">
        <v>654</v>
      </c>
      <c r="D42" s="333">
        <v>0</v>
      </c>
      <c r="E42" s="199" t="str">
        <f>IF(F42&gt;0,IF($E$9=1,D42-'Rents '!G42,D42-'Rents '!H42)," ")</f>
        <v xml:space="preserve"> </v>
      </c>
      <c r="F42" s="217">
        <v>0</v>
      </c>
      <c r="G42" s="199" t="str">
        <f t="shared" ref="G42:G48" si="6">IF(F42&gt;0,+E42*F42," ")</f>
        <v xml:space="preserve"> </v>
      </c>
      <c r="H42" s="15"/>
      <c r="I42" s="333">
        <v>0</v>
      </c>
      <c r="J42" s="199" t="str">
        <f>IF(K42&gt;0,IF($E$9=1,I42-'Rents '!G42,I42-'Rents '!H42)," ")</f>
        <v xml:space="preserve"> </v>
      </c>
      <c r="K42" s="217">
        <v>0</v>
      </c>
      <c r="L42" s="203" t="str">
        <f t="shared" ref="L42:L48" si="7">IF(K42&gt;0,+J42*K42," ")</f>
        <v xml:space="preserve"> </v>
      </c>
      <c r="N42" s="800">
        <f>'Rents '!D42+'NPLH Rents'!D32</f>
        <v>0</v>
      </c>
    </row>
    <row r="43" spans="1:14" ht="15.75" customHeight="1">
      <c r="A43" s="259"/>
      <c r="B43" s="286"/>
      <c r="C43" s="260" t="s">
        <v>145</v>
      </c>
      <c r="D43" s="333">
        <v>0</v>
      </c>
      <c r="E43" s="199" t="str">
        <f>IF(F43&gt;0,IF($E$9=1,D43-'Rents '!G43,D43-'Rents '!H43)," ")</f>
        <v xml:space="preserve"> </v>
      </c>
      <c r="F43" s="217">
        <v>0</v>
      </c>
      <c r="G43" s="199" t="str">
        <f t="shared" si="6"/>
        <v xml:space="preserve"> </v>
      </c>
      <c r="H43" s="15"/>
      <c r="I43" s="333">
        <v>0</v>
      </c>
      <c r="J43" s="199" t="str">
        <f>IF(K43&gt;0,IF($E$9=1,I43-'Rents '!G43,I43-'Rents '!H43)," ")</f>
        <v xml:space="preserve"> </v>
      </c>
      <c r="K43" s="217">
        <v>0</v>
      </c>
      <c r="L43" s="203" t="str">
        <f t="shared" si="7"/>
        <v xml:space="preserve"> </v>
      </c>
      <c r="N43" s="800">
        <f>'Rents '!D43+'NPLH Rents'!D33</f>
        <v>0</v>
      </c>
    </row>
    <row r="44" spans="1:14" ht="15.75" customHeight="1">
      <c r="A44" s="344"/>
      <c r="B44" s="287"/>
      <c r="C44" s="260" t="s">
        <v>146</v>
      </c>
      <c r="D44" s="333">
        <v>0</v>
      </c>
      <c r="E44" s="199" t="str">
        <f>IF(F44&gt;0,IF($E$9=1,D44-'Rents '!G44,D44-'Rents '!H44)," ")</f>
        <v xml:space="preserve"> </v>
      </c>
      <c r="F44" s="217">
        <v>0</v>
      </c>
      <c r="G44" s="199" t="str">
        <f t="shared" si="6"/>
        <v xml:space="preserve"> </v>
      </c>
      <c r="H44" s="15"/>
      <c r="I44" s="333">
        <v>0</v>
      </c>
      <c r="J44" s="199" t="str">
        <f>IF(K44&gt;0,IF($E$9=1,I44-'Rents '!G44,I44-'Rents '!H44)," ")</f>
        <v xml:space="preserve"> </v>
      </c>
      <c r="K44" s="217">
        <v>0</v>
      </c>
      <c r="L44" s="203" t="str">
        <f t="shared" si="7"/>
        <v xml:space="preserve"> </v>
      </c>
      <c r="N44" s="800">
        <f>'Rents '!D44+'NPLH Rents'!D34</f>
        <v>0</v>
      </c>
    </row>
    <row r="45" spans="1:14" ht="15.75" customHeight="1">
      <c r="A45" s="264"/>
      <c r="B45" s="345"/>
      <c r="C45" s="260" t="s">
        <v>147</v>
      </c>
      <c r="D45" s="333">
        <v>0</v>
      </c>
      <c r="E45" s="199" t="str">
        <f>IF(F45&gt;0,IF($E$9=1,D45-'Rents '!G45,D45-'Rents '!H45)," ")</f>
        <v xml:space="preserve"> </v>
      </c>
      <c r="F45" s="217">
        <v>0</v>
      </c>
      <c r="G45" s="199" t="str">
        <f t="shared" si="6"/>
        <v xml:space="preserve"> </v>
      </c>
      <c r="H45" s="15"/>
      <c r="I45" s="333">
        <v>0</v>
      </c>
      <c r="J45" s="199" t="str">
        <f>IF(K45&gt;0,IF($E$9=1,I45-'Rents '!G45,I45-'Rents '!H45)," ")</f>
        <v xml:space="preserve"> </v>
      </c>
      <c r="K45" s="217">
        <v>0</v>
      </c>
      <c r="L45" s="203" t="str">
        <f t="shared" si="7"/>
        <v xml:space="preserve"> </v>
      </c>
      <c r="N45" s="800">
        <f>'Rents '!D45+'NPLH Rents'!D35</f>
        <v>0</v>
      </c>
    </row>
    <row r="46" spans="1:14" ht="15.75" customHeight="1">
      <c r="A46" s="264"/>
      <c r="B46" s="286"/>
      <c r="C46" s="260" t="s">
        <v>148</v>
      </c>
      <c r="D46" s="333">
        <v>0</v>
      </c>
      <c r="E46" s="199" t="str">
        <f>IF(F46&gt;0,IF($E$9=1,D46-'Rents '!G46,D46-'Rents '!H46)," ")</f>
        <v xml:space="preserve"> </v>
      </c>
      <c r="F46" s="217">
        <v>0</v>
      </c>
      <c r="G46" s="199" t="str">
        <f t="shared" si="6"/>
        <v xml:space="preserve"> </v>
      </c>
      <c r="H46" s="15"/>
      <c r="I46" s="333">
        <v>0</v>
      </c>
      <c r="J46" s="199" t="str">
        <f>IF(K46&gt;0,IF($E$9=1,I46-'Rents '!G46,I46-'Rents '!H46)," ")</f>
        <v xml:space="preserve"> </v>
      </c>
      <c r="K46" s="217">
        <v>0</v>
      </c>
      <c r="L46" s="203" t="str">
        <f t="shared" si="7"/>
        <v xml:space="preserve"> </v>
      </c>
      <c r="N46" s="800">
        <f>'Rents '!D46+'NPLH Rents'!D36</f>
        <v>0</v>
      </c>
    </row>
    <row r="47" spans="1:14" ht="15.75" customHeight="1">
      <c r="A47" s="264"/>
      <c r="B47" s="286"/>
      <c r="C47" s="268" t="s">
        <v>149</v>
      </c>
      <c r="D47" s="334">
        <v>0</v>
      </c>
      <c r="E47" s="288" t="str">
        <f>IF(F47&gt;0,IF($E$9=1,D47-'Rents '!G47,D47-'Rents '!H47)," ")</f>
        <v xml:space="preserve"> </v>
      </c>
      <c r="F47" s="217">
        <v>0</v>
      </c>
      <c r="G47" s="288" t="str">
        <f t="shared" si="6"/>
        <v xml:space="preserve"> </v>
      </c>
      <c r="H47" s="15"/>
      <c r="I47" s="333">
        <v>0</v>
      </c>
      <c r="J47" s="288" t="str">
        <f>IF(K47&gt;0,IF($E$9=1,I47-'Rents '!G47,I47-'Rents '!H47)," ")</f>
        <v xml:space="preserve"> </v>
      </c>
      <c r="K47" s="217">
        <v>0</v>
      </c>
      <c r="L47" s="351" t="str">
        <f t="shared" si="7"/>
        <v xml:space="preserve"> </v>
      </c>
      <c r="N47" s="800">
        <f>'Rents '!D47+'NPLH Rents'!D37</f>
        <v>0</v>
      </c>
    </row>
    <row r="48" spans="1:14" ht="15.75" customHeight="1">
      <c r="A48" s="264"/>
      <c r="B48" s="286"/>
      <c r="C48" s="260" t="s">
        <v>150</v>
      </c>
      <c r="D48" s="333">
        <v>0</v>
      </c>
      <c r="E48" s="199" t="str">
        <f>IF(F48&gt;0,IF($E$9=1,D48-'Rents '!G48,D48-'Rents '!H48)," ")</f>
        <v xml:space="preserve"> </v>
      </c>
      <c r="F48" s="217">
        <v>0</v>
      </c>
      <c r="G48" s="352" t="str">
        <f t="shared" si="6"/>
        <v xml:space="preserve"> </v>
      </c>
      <c r="H48" s="15"/>
      <c r="I48" s="333">
        <v>0</v>
      </c>
      <c r="J48" s="199" t="str">
        <f>IF(K48&gt;0,IF($E$9=1,I48-'Rents '!G48,I48-'Rents '!H48)," ")</f>
        <v xml:space="preserve"> </v>
      </c>
      <c r="K48" s="217">
        <v>0</v>
      </c>
      <c r="L48" s="203" t="str">
        <f t="shared" si="7"/>
        <v xml:space="preserve"> </v>
      </c>
      <c r="N48" s="800">
        <f>'Rents '!D48+'NPLH Rents'!D38</f>
        <v>0</v>
      </c>
    </row>
    <row r="49" spans="1:14" ht="15.75" customHeight="1">
      <c r="A49" s="347"/>
      <c r="B49" s="348"/>
      <c r="C49" s="350"/>
      <c r="D49" s="7"/>
      <c r="E49" s="7"/>
      <c r="F49" s="34"/>
      <c r="G49" s="8"/>
      <c r="I49" s="116"/>
      <c r="J49" s="7"/>
      <c r="K49" s="34"/>
      <c r="L49" s="204"/>
    </row>
    <row r="50" spans="1:14" ht="15.75" customHeight="1">
      <c r="A50" s="341" t="str">
        <f>IF('Rents '!A50="","",'Rents '!A50)</f>
        <v/>
      </c>
      <c r="B50" s="341" t="str">
        <f>IF('Rents '!B50="","",'Rents '!B50)</f>
        <v/>
      </c>
      <c r="C50" s="257" t="s">
        <v>654</v>
      </c>
      <c r="D50" s="333">
        <v>0</v>
      </c>
      <c r="E50" s="199" t="str">
        <f>IF(F50&gt;0,IF($E$9=1,D50-'Rents '!G50,D50-'Rents '!H50)," ")</f>
        <v xml:space="preserve"> </v>
      </c>
      <c r="F50" s="217">
        <v>0</v>
      </c>
      <c r="G50" s="199" t="str">
        <f t="shared" ref="G50:G56" si="8">IF(F50&gt;0,+E50*F50," ")</f>
        <v xml:space="preserve"> </v>
      </c>
      <c r="H50" s="15"/>
      <c r="I50" s="333">
        <v>0</v>
      </c>
      <c r="J50" s="199" t="str">
        <f>IF(K50&gt;0,IF($E$9=1,I50-'Rents '!G50,I50-'Rents '!H50)," ")</f>
        <v xml:space="preserve"> </v>
      </c>
      <c r="K50" s="217">
        <v>0</v>
      </c>
      <c r="L50" s="203" t="str">
        <f t="shared" ref="L50:L56" si="9">IF(K50&gt;0,+J50*K50," ")</f>
        <v xml:space="preserve"> </v>
      </c>
      <c r="N50" s="800">
        <f>'Rents '!D50+'NPLH Rents'!D40</f>
        <v>0</v>
      </c>
    </row>
    <row r="51" spans="1:14" ht="15.75" customHeight="1">
      <c r="A51" s="259"/>
      <c r="B51" s="286"/>
      <c r="C51" s="260" t="s">
        <v>145</v>
      </c>
      <c r="D51" s="333">
        <v>0</v>
      </c>
      <c r="E51" s="199" t="str">
        <f>IF(F51&gt;0,IF($E$9=1,D51-'Rents '!G51,D51-'Rents '!H51)," ")</f>
        <v xml:space="preserve"> </v>
      </c>
      <c r="F51" s="217">
        <v>0</v>
      </c>
      <c r="G51" s="199" t="str">
        <f t="shared" si="8"/>
        <v xml:space="preserve"> </v>
      </c>
      <c r="H51" s="15"/>
      <c r="I51" s="333">
        <v>0</v>
      </c>
      <c r="J51" s="199" t="str">
        <f>IF(K51&gt;0,IF($E$9=1,I51-'Rents '!G51,I51-'Rents '!H51)," ")</f>
        <v xml:space="preserve"> </v>
      </c>
      <c r="K51" s="217">
        <v>0</v>
      </c>
      <c r="L51" s="203" t="str">
        <f t="shared" si="9"/>
        <v xml:space="preserve"> </v>
      </c>
      <c r="N51" s="800">
        <f>'Rents '!D51+'NPLH Rents'!D41</f>
        <v>0</v>
      </c>
    </row>
    <row r="52" spans="1:14" ht="15.75" customHeight="1">
      <c r="A52" s="344"/>
      <c r="B52" s="287"/>
      <c r="C52" s="260" t="s">
        <v>146</v>
      </c>
      <c r="D52" s="333">
        <v>0</v>
      </c>
      <c r="E52" s="199" t="str">
        <f>IF(F52&gt;0,IF($E$9=1,D52-'Rents '!G52,D52-'Rents '!H52)," ")</f>
        <v xml:space="preserve"> </v>
      </c>
      <c r="F52" s="217">
        <v>0</v>
      </c>
      <c r="G52" s="199" t="str">
        <f t="shared" si="8"/>
        <v xml:space="preserve"> </v>
      </c>
      <c r="H52" s="15"/>
      <c r="I52" s="333">
        <v>0</v>
      </c>
      <c r="J52" s="199" t="str">
        <f>IF(K52&gt;0,IF($E$9=1,I52-'Rents '!G52,I52-'Rents '!H52)," ")</f>
        <v xml:space="preserve"> </v>
      </c>
      <c r="K52" s="217">
        <v>0</v>
      </c>
      <c r="L52" s="203" t="str">
        <f t="shared" si="9"/>
        <v xml:space="preserve"> </v>
      </c>
      <c r="N52" s="800">
        <f>'Rents '!D52+'NPLH Rents'!D42</f>
        <v>0</v>
      </c>
    </row>
    <row r="53" spans="1:14" ht="15.75" customHeight="1">
      <c r="A53" s="264"/>
      <c r="B53" s="345"/>
      <c r="C53" s="260" t="s">
        <v>147</v>
      </c>
      <c r="D53" s="333">
        <v>0</v>
      </c>
      <c r="E53" s="199" t="str">
        <f>IF(F53&gt;0,IF($E$9=1,D53-'Rents '!G53,D53-'Rents '!H53)," ")</f>
        <v xml:space="preserve"> </v>
      </c>
      <c r="F53" s="217">
        <v>0</v>
      </c>
      <c r="G53" s="199" t="str">
        <f t="shared" si="8"/>
        <v xml:space="preserve"> </v>
      </c>
      <c r="H53" s="15"/>
      <c r="I53" s="333">
        <v>0</v>
      </c>
      <c r="J53" s="199" t="str">
        <f>IF(K53&gt;0,IF($E$9=1,I53-'Rents '!G53,I53-'Rents '!H53)," ")</f>
        <v xml:space="preserve"> </v>
      </c>
      <c r="K53" s="217">
        <v>0</v>
      </c>
      <c r="L53" s="203" t="str">
        <f t="shared" si="9"/>
        <v xml:space="preserve"> </v>
      </c>
      <c r="N53" s="800">
        <f>'Rents '!D53+'NPLH Rents'!D43</f>
        <v>0</v>
      </c>
    </row>
    <row r="54" spans="1:14" ht="15.75" customHeight="1">
      <c r="A54" s="264"/>
      <c r="B54" s="286"/>
      <c r="C54" s="260" t="s">
        <v>148</v>
      </c>
      <c r="D54" s="333">
        <v>0</v>
      </c>
      <c r="E54" s="199" t="str">
        <f>IF(F54&gt;0,IF($E$9=1,D54-'Rents '!G54,D54-'Rents '!H54)," ")</f>
        <v xml:space="preserve"> </v>
      </c>
      <c r="F54" s="217">
        <v>0</v>
      </c>
      <c r="G54" s="199" t="str">
        <f t="shared" si="8"/>
        <v xml:space="preserve"> </v>
      </c>
      <c r="H54" s="15"/>
      <c r="I54" s="333">
        <v>0</v>
      </c>
      <c r="J54" s="199" t="str">
        <f>IF(K54&gt;0,IF($E$9=1,I54-'Rents '!G54,I54-'Rents '!H54)," ")</f>
        <v xml:space="preserve"> </v>
      </c>
      <c r="K54" s="217">
        <v>0</v>
      </c>
      <c r="L54" s="203" t="str">
        <f t="shared" si="9"/>
        <v xml:space="preserve"> </v>
      </c>
      <c r="N54" s="800">
        <f>'Rents '!D54+'NPLH Rents'!D44</f>
        <v>0</v>
      </c>
    </row>
    <row r="55" spans="1:14" ht="15.75" customHeight="1">
      <c r="A55" s="264"/>
      <c r="B55" s="286"/>
      <c r="C55" s="260" t="s">
        <v>149</v>
      </c>
      <c r="D55" s="333">
        <v>0</v>
      </c>
      <c r="E55" s="199" t="str">
        <f>IF(F55&gt;0,IF($E$9=1,D55-'Rents '!G55,D55-'Rents '!H55)," ")</f>
        <v xml:space="preserve"> </v>
      </c>
      <c r="F55" s="217">
        <v>0</v>
      </c>
      <c r="G55" s="199" t="str">
        <f t="shared" si="8"/>
        <v xml:space="preserve"> </v>
      </c>
      <c r="H55" s="15"/>
      <c r="I55" s="333">
        <v>0</v>
      </c>
      <c r="J55" s="199" t="str">
        <f>IF(K55&gt;0,IF($E$9=1,I55-'Rents '!G55,I55-'Rents '!H55)," ")</f>
        <v xml:space="preserve"> </v>
      </c>
      <c r="K55" s="217">
        <v>0</v>
      </c>
      <c r="L55" s="203" t="str">
        <f t="shared" si="9"/>
        <v xml:space="preserve"> </v>
      </c>
      <c r="N55" s="800">
        <f>'Rents '!D55+'NPLH Rents'!D45</f>
        <v>0</v>
      </c>
    </row>
    <row r="56" spans="1:14" ht="15.75" customHeight="1" thickBot="1">
      <c r="A56" s="353"/>
      <c r="B56" s="354"/>
      <c r="C56" s="355" t="s">
        <v>150</v>
      </c>
      <c r="D56" s="335">
        <v>0</v>
      </c>
      <c r="E56" s="356" t="str">
        <f>IF(F56&gt;0,IF($E$9=1,D56-'Rents '!G56,D56-'Rents '!H56)," ")</f>
        <v xml:space="preserve"> </v>
      </c>
      <c r="F56" s="217">
        <v>0</v>
      </c>
      <c r="G56" s="356" t="str">
        <f t="shared" si="8"/>
        <v xml:space="preserve"> </v>
      </c>
      <c r="H56" s="357"/>
      <c r="I56" s="335">
        <v>0</v>
      </c>
      <c r="J56" s="356" t="str">
        <f>IF(K56&gt;0,IF($E$9=1,I56-'Rents '!G56,I56-'Rents '!H56)," ")</f>
        <v xml:space="preserve"> </v>
      </c>
      <c r="K56" s="217">
        <v>0</v>
      </c>
      <c r="L56" s="358" t="str">
        <f t="shared" si="9"/>
        <v xml:space="preserve"> </v>
      </c>
      <c r="N56" s="800">
        <f>'Rents '!D56+'NPLH Rents'!D46</f>
        <v>0</v>
      </c>
    </row>
    <row r="57" spans="1:14" ht="26.25" customHeight="1">
      <c r="A57" s="65"/>
      <c r="B57" s="68"/>
      <c r="C57" s="68"/>
      <c r="D57" s="2002" t="s">
        <v>60</v>
      </c>
      <c r="E57" s="2003"/>
      <c r="F57" s="2003"/>
      <c r="G57" s="2004"/>
      <c r="H57" s="68"/>
      <c r="I57" s="2008" t="s">
        <v>60</v>
      </c>
      <c r="J57" s="2009"/>
      <c r="K57" s="2009"/>
      <c r="L57" s="2010"/>
    </row>
    <row r="58" spans="1:14" ht="15.75" customHeight="1">
      <c r="A58" s="10"/>
      <c r="D58" s="290"/>
      <c r="E58" s="69"/>
      <c r="F58" s="69"/>
      <c r="G58" s="359"/>
      <c r="I58" s="290"/>
      <c r="J58" s="69"/>
      <c r="K58" s="69"/>
      <c r="L58" s="198"/>
    </row>
    <row r="59" spans="1:14" ht="15.75" customHeight="1">
      <c r="A59" s="10"/>
      <c r="D59" s="202" t="s">
        <v>200</v>
      </c>
      <c r="E59" s="6"/>
      <c r="F59" s="1995">
        <f>+F13</f>
        <v>0</v>
      </c>
      <c r="G59" s="1995"/>
      <c r="I59" s="202" t="s">
        <v>200</v>
      </c>
      <c r="J59" s="6"/>
      <c r="K59" s="1995">
        <f>+K13</f>
        <v>0</v>
      </c>
      <c r="L59" s="1996"/>
    </row>
    <row r="60" spans="1:14" ht="15.75" customHeight="1">
      <c r="A60" s="1967" t="s">
        <v>229</v>
      </c>
      <c r="B60" s="1925" t="s">
        <v>329</v>
      </c>
      <c r="C60" s="1925" t="s">
        <v>179</v>
      </c>
      <c r="D60" s="1972" t="s">
        <v>195</v>
      </c>
      <c r="E60" s="1972" t="s">
        <v>35</v>
      </c>
      <c r="F60" s="1972" t="s">
        <v>196</v>
      </c>
      <c r="G60" s="1972" t="s">
        <v>416</v>
      </c>
      <c r="H60" s="15"/>
      <c r="I60" s="1972" t="s">
        <v>195</v>
      </c>
      <c r="J60" s="1972" t="s">
        <v>35</v>
      </c>
      <c r="K60" s="1972" t="s">
        <v>196</v>
      </c>
      <c r="L60" s="1975" t="s">
        <v>416</v>
      </c>
    </row>
    <row r="61" spans="1:14" ht="15.75" customHeight="1">
      <c r="A61" s="1922"/>
      <c r="B61" s="1925"/>
      <c r="C61" s="1925"/>
      <c r="D61" s="1972"/>
      <c r="E61" s="1972"/>
      <c r="F61" s="1972"/>
      <c r="G61" s="1972"/>
      <c r="H61" s="15"/>
      <c r="I61" s="1972"/>
      <c r="J61" s="1972"/>
      <c r="K61" s="1972"/>
      <c r="L61" s="1975"/>
    </row>
    <row r="62" spans="1:14" ht="15.75" customHeight="1">
      <c r="A62" s="1922"/>
      <c r="B62" s="1925"/>
      <c r="C62" s="1925"/>
      <c r="D62" s="1972"/>
      <c r="E62" s="1972"/>
      <c r="F62" s="1972"/>
      <c r="G62" s="1972"/>
      <c r="H62" s="15"/>
      <c r="I62" s="1972"/>
      <c r="J62" s="1972"/>
      <c r="K62" s="1972"/>
      <c r="L62" s="1975"/>
    </row>
    <row r="63" spans="1:14" ht="15.75" customHeight="1">
      <c r="A63" s="1922"/>
      <c r="B63" s="1925"/>
      <c r="C63" s="1925"/>
      <c r="D63" s="1972"/>
      <c r="E63" s="1972"/>
      <c r="F63" s="1972"/>
      <c r="G63" s="1972"/>
      <c r="H63" s="15"/>
      <c r="I63" s="1972"/>
      <c r="J63" s="1972"/>
      <c r="K63" s="1972"/>
      <c r="L63" s="1975"/>
    </row>
    <row r="64" spans="1:14" ht="15.75" customHeight="1">
      <c r="A64" s="341">
        <f>'Rents '!A62</f>
        <v>0</v>
      </c>
      <c r="B64" s="342">
        <f>'Rents '!B62</f>
        <v>0</v>
      </c>
      <c r="C64" s="257" t="s">
        <v>654</v>
      </c>
      <c r="D64" s="333">
        <v>0</v>
      </c>
      <c r="E64" s="199" t="str">
        <f>IF(F64&gt;0,IF($E$9=1,D64-'Rents '!G62,D64-'Rents '!H62)," ")</f>
        <v xml:space="preserve"> </v>
      </c>
      <c r="F64" s="217">
        <v>0</v>
      </c>
      <c r="G64" s="199" t="str">
        <f t="shared" ref="G64:G70" si="10">IF(F64&gt;0,+E64*F64," ")</f>
        <v xml:space="preserve"> </v>
      </c>
      <c r="I64" s="333">
        <v>0</v>
      </c>
      <c r="J64" s="199" t="str">
        <f>IF(K64&gt;0,IF($E$9=1,I64-'Rents '!G62,I64-'Rents '!H62)," ")</f>
        <v xml:space="preserve"> </v>
      </c>
      <c r="K64" s="217">
        <v>0</v>
      </c>
      <c r="L64" s="203" t="str">
        <f t="shared" ref="L64:L70" si="11">IF(K64&gt;0,+J64*K64," ")</f>
        <v xml:space="preserve"> </v>
      </c>
      <c r="N64">
        <f>'Rents '!D62</f>
        <v>0</v>
      </c>
    </row>
    <row r="65" spans="1:14" ht="15.75" customHeight="1">
      <c r="A65" s="259"/>
      <c r="B65" s="286"/>
      <c r="C65" s="260" t="s">
        <v>145</v>
      </c>
      <c r="D65" s="333">
        <v>0</v>
      </c>
      <c r="E65" s="199" t="str">
        <f>IF(F65&gt;0,IF($E$9=1,D65-'Rents '!G63,D65-'Rents '!H63)," ")</f>
        <v xml:space="preserve"> </v>
      </c>
      <c r="F65" s="217">
        <v>0</v>
      </c>
      <c r="G65" s="199" t="str">
        <f t="shared" si="10"/>
        <v xml:space="preserve"> </v>
      </c>
      <c r="I65" s="333">
        <v>0</v>
      </c>
      <c r="J65" s="199" t="str">
        <f>IF(K65&gt;0,IF($E$9=1,I65-'Rents '!G63,I65-'Rents '!H63)," ")</f>
        <v xml:space="preserve"> </v>
      </c>
      <c r="K65" s="217">
        <v>0</v>
      </c>
      <c r="L65" s="203" t="str">
        <f t="shared" si="11"/>
        <v xml:space="preserve"> </v>
      </c>
      <c r="N65">
        <f>'Rents '!D63</f>
        <v>0</v>
      </c>
    </row>
    <row r="66" spans="1:14" ht="15.75" customHeight="1">
      <c r="A66" s="344"/>
      <c r="B66" s="287"/>
      <c r="C66" s="260" t="s">
        <v>146</v>
      </c>
      <c r="D66" s="333">
        <v>0</v>
      </c>
      <c r="E66" s="199" t="str">
        <f>IF(F66&gt;0,IF($E$9=1,D66-'Rents '!G64,D66-'Rents '!H64)," ")</f>
        <v xml:space="preserve"> </v>
      </c>
      <c r="F66" s="217">
        <v>0</v>
      </c>
      <c r="G66" s="199" t="str">
        <f t="shared" si="10"/>
        <v xml:space="preserve"> </v>
      </c>
      <c r="I66" s="333">
        <v>0</v>
      </c>
      <c r="J66" s="199" t="str">
        <f>IF(K66&gt;0,IF($E$9=1,I66-'Rents '!G64,I66-'Rents '!H64)," ")</f>
        <v xml:space="preserve"> </v>
      </c>
      <c r="K66" s="217">
        <v>0</v>
      </c>
      <c r="L66" s="203" t="str">
        <f t="shared" si="11"/>
        <v xml:space="preserve"> </v>
      </c>
      <c r="N66">
        <f>'Rents '!D64</f>
        <v>0</v>
      </c>
    </row>
    <row r="67" spans="1:14" ht="15.75" customHeight="1">
      <c r="A67" s="264"/>
      <c r="B67" s="345"/>
      <c r="C67" s="260" t="s">
        <v>147</v>
      </c>
      <c r="D67" s="333">
        <v>0</v>
      </c>
      <c r="E67" s="199" t="str">
        <f>IF(F67&gt;0,IF($E$9=1,D67-'Rents '!G65,D67-'Rents '!H65)," ")</f>
        <v xml:space="preserve"> </v>
      </c>
      <c r="F67" s="217">
        <v>0</v>
      </c>
      <c r="G67" s="199" t="str">
        <f t="shared" si="10"/>
        <v xml:space="preserve"> </v>
      </c>
      <c r="I67" s="333">
        <v>0</v>
      </c>
      <c r="J67" s="199" t="str">
        <f>IF(K67&gt;0,IF($E$9=1,I67-'Rents '!G65,I67-'Rents '!H65)," ")</f>
        <v xml:space="preserve"> </v>
      </c>
      <c r="K67" s="217">
        <v>0</v>
      </c>
      <c r="L67" s="203" t="str">
        <f t="shared" si="11"/>
        <v xml:space="preserve"> </v>
      </c>
      <c r="N67">
        <f>'Rents '!D65</f>
        <v>0</v>
      </c>
    </row>
    <row r="68" spans="1:14" ht="15.75" customHeight="1">
      <c r="A68" s="264"/>
      <c r="B68" s="286"/>
      <c r="C68" s="260" t="s">
        <v>148</v>
      </c>
      <c r="D68" s="333">
        <v>0</v>
      </c>
      <c r="E68" s="199" t="str">
        <f>IF(F68&gt;0,IF($E$9=1,D68-'Rents '!G66,D68-'Rents '!H66)," ")</f>
        <v xml:space="preserve"> </v>
      </c>
      <c r="F68" s="217">
        <v>0</v>
      </c>
      <c r="G68" s="199" t="str">
        <f t="shared" si="10"/>
        <v xml:space="preserve"> </v>
      </c>
      <c r="I68" s="333">
        <v>0</v>
      </c>
      <c r="J68" s="199" t="str">
        <f>IF(K68&gt;0,IF($E$9=1,I68-'Rents '!G66,I68-'Rents '!H66)," ")</f>
        <v xml:space="preserve"> </v>
      </c>
      <c r="K68" s="217">
        <v>0</v>
      </c>
      <c r="L68" s="203" t="str">
        <f t="shared" si="11"/>
        <v xml:space="preserve"> </v>
      </c>
      <c r="N68">
        <f>'Rents '!D66</f>
        <v>0</v>
      </c>
    </row>
    <row r="69" spans="1:14" ht="15.75" customHeight="1">
      <c r="A69" s="264"/>
      <c r="B69" s="286"/>
      <c r="C69" s="260" t="s">
        <v>149</v>
      </c>
      <c r="D69" s="333">
        <v>0</v>
      </c>
      <c r="E69" s="199" t="str">
        <f>IF(F69&gt;0,IF($E$9=1,D69-'Rents '!G67,D69-'Rents '!H67)," ")</f>
        <v xml:space="preserve"> </v>
      </c>
      <c r="F69" s="217">
        <v>0</v>
      </c>
      <c r="G69" s="199" t="str">
        <f t="shared" si="10"/>
        <v xml:space="preserve"> </v>
      </c>
      <c r="I69" s="333">
        <v>0</v>
      </c>
      <c r="J69" s="199" t="str">
        <f>IF(K69&gt;0,IF($E$9=1,I69-'Rents '!G67,I69-'Rents '!H67)," ")</f>
        <v xml:space="preserve"> </v>
      </c>
      <c r="K69" s="217">
        <v>0</v>
      </c>
      <c r="L69" s="203" t="str">
        <f t="shared" si="11"/>
        <v xml:space="preserve"> </v>
      </c>
      <c r="N69">
        <f>'Rents '!D67</f>
        <v>0</v>
      </c>
    </row>
    <row r="70" spans="1:14" ht="15.75" customHeight="1">
      <c r="A70" s="264"/>
      <c r="B70" s="286"/>
      <c r="C70" s="260" t="s">
        <v>150</v>
      </c>
      <c r="D70" s="333">
        <v>0</v>
      </c>
      <c r="E70" s="199" t="str">
        <f>IF(F70&gt;0,IF($E$9=1,D70-'Rents '!G68,D70-'Rents '!H68)," ")</f>
        <v xml:space="preserve"> </v>
      </c>
      <c r="F70" s="217">
        <v>0</v>
      </c>
      <c r="G70" s="199" t="str">
        <f t="shared" si="10"/>
        <v xml:space="preserve"> </v>
      </c>
      <c r="I70" s="333">
        <v>0</v>
      </c>
      <c r="J70" s="199" t="str">
        <f>IF(K70&gt;0,IF($E$9=1,I70-'Rents '!G68,I70-'Rents '!H68)," ")</f>
        <v xml:space="preserve"> </v>
      </c>
      <c r="K70" s="217">
        <v>0</v>
      </c>
      <c r="L70" s="203" t="str">
        <f t="shared" si="11"/>
        <v xml:space="preserve"> </v>
      </c>
      <c r="N70">
        <f>'Rents '!D68</f>
        <v>0</v>
      </c>
    </row>
    <row r="71" spans="1:14" ht="15.75" customHeight="1">
      <c r="A71" s="347"/>
      <c r="B71" s="348"/>
      <c r="C71" s="349"/>
      <c r="D71" s="7"/>
      <c r="E71" s="7"/>
      <c r="F71" s="34"/>
      <c r="G71" s="8"/>
      <c r="I71" s="336"/>
      <c r="J71" s="7"/>
      <c r="K71" s="34"/>
      <c r="L71" s="204"/>
    </row>
    <row r="72" spans="1:14" ht="15.75" customHeight="1">
      <c r="A72" s="341">
        <f>'Rents '!A70</f>
        <v>0</v>
      </c>
      <c r="B72" s="342">
        <f>'Rents '!B70</f>
        <v>0</v>
      </c>
      <c r="C72" s="257" t="s">
        <v>654</v>
      </c>
      <c r="D72" s="333">
        <v>0</v>
      </c>
      <c r="E72" s="199" t="str">
        <f>IF(F72&gt;0,IF($E$9=1,D72-'Rents '!G70,D72-'Rents '!H70)," ")</f>
        <v xml:space="preserve"> </v>
      </c>
      <c r="F72" s="217">
        <v>0</v>
      </c>
      <c r="G72" s="199" t="str">
        <f t="shared" ref="G72:G78" si="12">IF(F72&gt;0,+E72*F72," ")</f>
        <v xml:space="preserve"> </v>
      </c>
      <c r="I72" s="333">
        <v>0</v>
      </c>
      <c r="J72" s="199" t="str">
        <f>IF(K72&gt;0,IF($E$9=1,I72-'Rents '!G70,I72-'Rents '!H70)," ")</f>
        <v xml:space="preserve"> </v>
      </c>
      <c r="K72" s="217">
        <v>0</v>
      </c>
      <c r="L72" s="203" t="str">
        <f t="shared" ref="L72:L78" si="13">IF(K72&gt;0,+J72*K72," ")</f>
        <v xml:space="preserve"> </v>
      </c>
      <c r="N72">
        <f>'Rents '!D70</f>
        <v>0</v>
      </c>
    </row>
    <row r="73" spans="1:14" ht="15.75" customHeight="1">
      <c r="A73" s="259"/>
      <c r="B73" s="286"/>
      <c r="C73" s="260" t="s">
        <v>145</v>
      </c>
      <c r="D73" s="333">
        <v>0</v>
      </c>
      <c r="E73" s="199" t="str">
        <f>IF(F73&gt;0,IF($E$9=1,D73-'Rents '!G71,D73-'Rents '!H71)," ")</f>
        <v xml:space="preserve"> </v>
      </c>
      <c r="F73" s="217">
        <v>0</v>
      </c>
      <c r="G73" s="199" t="str">
        <f t="shared" si="12"/>
        <v xml:space="preserve"> </v>
      </c>
      <c r="I73" s="333">
        <v>0</v>
      </c>
      <c r="J73" s="199" t="str">
        <f>IF(K73&gt;0,IF($E$9=1,I73-'Rents '!G71,I73-'Rents '!H71)," ")</f>
        <v xml:space="preserve"> </v>
      </c>
      <c r="K73" s="217">
        <v>0</v>
      </c>
      <c r="L73" s="203" t="str">
        <f t="shared" si="13"/>
        <v xml:space="preserve"> </v>
      </c>
      <c r="N73">
        <f>'Rents '!D71</f>
        <v>0</v>
      </c>
    </row>
    <row r="74" spans="1:14" ht="15.75" customHeight="1">
      <c r="A74" s="344"/>
      <c r="B74" s="287"/>
      <c r="C74" s="260" t="s">
        <v>146</v>
      </c>
      <c r="D74" s="333">
        <v>0</v>
      </c>
      <c r="E74" s="199" t="str">
        <f>IF(F74&gt;0,IF($E$9=1,D74-'Rents '!G72,D74-'Rents '!H72)," ")</f>
        <v xml:space="preserve"> </v>
      </c>
      <c r="F74" s="217">
        <v>0</v>
      </c>
      <c r="G74" s="199" t="str">
        <f t="shared" si="12"/>
        <v xml:space="preserve"> </v>
      </c>
      <c r="I74" s="333">
        <v>0</v>
      </c>
      <c r="J74" s="199" t="str">
        <f>IF(K74&gt;0,IF($E$9=1,I74-'Rents '!G72,I74-'Rents '!H72)," ")</f>
        <v xml:space="preserve"> </v>
      </c>
      <c r="K74" s="217">
        <v>0</v>
      </c>
      <c r="L74" s="203" t="str">
        <f t="shared" si="13"/>
        <v xml:space="preserve"> </v>
      </c>
      <c r="N74">
        <f>'Rents '!D72</f>
        <v>0</v>
      </c>
    </row>
    <row r="75" spans="1:14" ht="15.75" customHeight="1">
      <c r="A75" s="264"/>
      <c r="B75" s="345"/>
      <c r="C75" s="260" t="s">
        <v>147</v>
      </c>
      <c r="D75" s="333">
        <v>0</v>
      </c>
      <c r="E75" s="199" t="str">
        <f>IF(F75&gt;0,IF($E$9=1,D75-'Rents '!G73,D75-'Rents '!H73)," ")</f>
        <v xml:space="preserve"> </v>
      </c>
      <c r="F75" s="217">
        <v>0</v>
      </c>
      <c r="G75" s="199" t="str">
        <f t="shared" si="12"/>
        <v xml:space="preserve"> </v>
      </c>
      <c r="I75" s="333">
        <v>0</v>
      </c>
      <c r="J75" s="199" t="str">
        <f>IF(K75&gt;0,IF($E$9=1,I75-'Rents '!G73,I75-'Rents '!H73)," ")</f>
        <v xml:space="preserve"> </v>
      </c>
      <c r="K75" s="217">
        <v>0</v>
      </c>
      <c r="L75" s="203" t="str">
        <f t="shared" si="13"/>
        <v xml:space="preserve"> </v>
      </c>
      <c r="N75">
        <f>'Rents '!D73</f>
        <v>0</v>
      </c>
    </row>
    <row r="76" spans="1:14" ht="15.75" customHeight="1">
      <c r="A76" s="264"/>
      <c r="B76" s="286"/>
      <c r="C76" s="260" t="s">
        <v>148</v>
      </c>
      <c r="D76" s="333">
        <v>0</v>
      </c>
      <c r="E76" s="199" t="str">
        <f>IF(F76&gt;0,IF($E$9=1,D76-'Rents '!G74,D76-'Rents '!H74)," ")</f>
        <v xml:space="preserve"> </v>
      </c>
      <c r="F76" s="217">
        <v>0</v>
      </c>
      <c r="G76" s="199" t="str">
        <f t="shared" si="12"/>
        <v xml:space="preserve"> </v>
      </c>
      <c r="I76" s="333">
        <v>0</v>
      </c>
      <c r="J76" s="199" t="str">
        <f>IF(K76&gt;0,IF($E$9=1,I76-'Rents '!G74,I76-'Rents '!H74)," ")</f>
        <v xml:space="preserve"> </v>
      </c>
      <c r="K76" s="217">
        <v>0</v>
      </c>
      <c r="L76" s="203" t="str">
        <f t="shared" si="13"/>
        <v xml:space="preserve"> </v>
      </c>
      <c r="N76">
        <f>'Rents '!D74</f>
        <v>0</v>
      </c>
    </row>
    <row r="77" spans="1:14" ht="15.75" customHeight="1">
      <c r="A77" s="264"/>
      <c r="B77" s="286"/>
      <c r="C77" s="260" t="s">
        <v>149</v>
      </c>
      <c r="D77" s="333">
        <v>0</v>
      </c>
      <c r="E77" s="199" t="str">
        <f>IF(F77&gt;0,IF($E$9=1,D77-'Rents '!G75,D77-'Rents '!H75)," ")</f>
        <v xml:space="preserve"> </v>
      </c>
      <c r="F77" s="217">
        <v>0</v>
      </c>
      <c r="G77" s="199" t="str">
        <f t="shared" si="12"/>
        <v xml:space="preserve"> </v>
      </c>
      <c r="I77" s="333">
        <v>0</v>
      </c>
      <c r="J77" s="199" t="str">
        <f>IF(K77&gt;0,IF($E$9=1,I77-'Rents '!G75,I77-'Rents '!H75)," ")</f>
        <v xml:space="preserve"> </v>
      </c>
      <c r="K77" s="217">
        <v>0</v>
      </c>
      <c r="L77" s="203" t="str">
        <f t="shared" si="13"/>
        <v xml:space="preserve"> </v>
      </c>
      <c r="N77">
        <f>'Rents '!D75</f>
        <v>0</v>
      </c>
    </row>
    <row r="78" spans="1:14" ht="15.75" customHeight="1">
      <c r="A78" s="264"/>
      <c r="B78" s="286"/>
      <c r="C78" s="260" t="s">
        <v>150</v>
      </c>
      <c r="D78" s="333">
        <v>0</v>
      </c>
      <c r="E78" s="199" t="str">
        <f>IF(F78&gt;0,IF($E$9=1,D78-'Rents '!G76,D78-'Rents '!H76)," ")</f>
        <v xml:space="preserve"> </v>
      </c>
      <c r="F78" s="217">
        <v>0</v>
      </c>
      <c r="G78" s="199" t="str">
        <f t="shared" si="12"/>
        <v xml:space="preserve"> </v>
      </c>
      <c r="H78" s="113"/>
      <c r="I78" s="333">
        <v>0</v>
      </c>
      <c r="J78" s="199" t="str">
        <f>IF(K78&gt;0,IF($E$9=1,I78-'Rents '!G76,I78-'Rents '!H76)," ")</f>
        <v xml:space="preserve"> </v>
      </c>
      <c r="K78" s="217">
        <v>0</v>
      </c>
      <c r="L78" s="203" t="str">
        <f t="shared" si="13"/>
        <v xml:space="preserve"> </v>
      </c>
      <c r="N78">
        <f>'Rents '!D76</f>
        <v>0</v>
      </c>
    </row>
    <row r="79" spans="1:14" ht="15.75" customHeight="1">
      <c r="A79" s="347"/>
      <c r="B79" s="348"/>
      <c r="C79" s="349"/>
      <c r="D79" s="7"/>
      <c r="E79" s="7"/>
      <c r="F79" s="200"/>
      <c r="G79" s="201"/>
      <c r="H79" s="113"/>
      <c r="I79" s="116"/>
      <c r="J79" s="7"/>
      <c r="K79" s="200"/>
      <c r="L79" s="205"/>
    </row>
    <row r="80" spans="1:14" ht="15.75" customHeight="1">
      <c r="A80" s="341">
        <f>'Rents '!A78</f>
        <v>0</v>
      </c>
      <c r="B80" s="342">
        <f>'Rents '!B78</f>
        <v>0</v>
      </c>
      <c r="C80" s="257" t="s">
        <v>654</v>
      </c>
      <c r="D80" s="333">
        <v>0</v>
      </c>
      <c r="E80" s="199" t="str">
        <f>IF(F80&gt;0,IF($E$9=1,D80-'Rents '!G78,D80-'Rents '!H78)," ")</f>
        <v xml:space="preserve"> </v>
      </c>
      <c r="F80" s="217">
        <v>0</v>
      </c>
      <c r="G80" s="199" t="str">
        <f t="shared" ref="G80:G86" si="14">IF(F80&gt;0,+E80*F80," ")</f>
        <v xml:space="preserve"> </v>
      </c>
      <c r="H80" s="112"/>
      <c r="I80" s="333">
        <v>0</v>
      </c>
      <c r="J80" s="199" t="str">
        <f>IF(K80&gt;0,IF($E$9=1,I80-'Rents '!G78,I80-'Rents '!H78)," ")</f>
        <v xml:space="preserve"> </v>
      </c>
      <c r="K80" s="217">
        <v>0</v>
      </c>
      <c r="L80" s="203" t="str">
        <f t="shared" ref="L80:L86" si="15">IF(K80&gt;0,+J80*K80," ")</f>
        <v xml:space="preserve"> </v>
      </c>
      <c r="N80">
        <f>'Rents '!D78</f>
        <v>0</v>
      </c>
    </row>
    <row r="81" spans="1:14" ht="15.75" customHeight="1">
      <c r="A81" s="259"/>
      <c r="B81" s="286"/>
      <c r="C81" s="260" t="s">
        <v>145</v>
      </c>
      <c r="D81" s="333">
        <v>0</v>
      </c>
      <c r="E81" s="199" t="str">
        <f>IF(F81&gt;0,IF($E$9=1,D81-'Rents '!G79,D81-'Rents '!H79)," ")</f>
        <v xml:space="preserve"> </v>
      </c>
      <c r="F81" s="217">
        <v>0</v>
      </c>
      <c r="G81" s="199" t="str">
        <f t="shared" si="14"/>
        <v xml:space="preserve"> </v>
      </c>
      <c r="H81" s="112"/>
      <c r="I81" s="333">
        <v>0</v>
      </c>
      <c r="J81" s="199" t="str">
        <f>IF(K81&gt;0,IF($E$9=1,I81-'Rents '!G79,I81-'Rents '!H79)," ")</f>
        <v xml:space="preserve"> </v>
      </c>
      <c r="K81" s="217">
        <v>0</v>
      </c>
      <c r="L81" s="203" t="str">
        <f t="shared" si="15"/>
        <v xml:space="preserve"> </v>
      </c>
      <c r="N81">
        <f>'Rents '!D79</f>
        <v>0</v>
      </c>
    </row>
    <row r="82" spans="1:14" ht="15.75" customHeight="1">
      <c r="A82" s="344"/>
      <c r="B82" s="287"/>
      <c r="C82" s="260" t="s">
        <v>146</v>
      </c>
      <c r="D82" s="333">
        <v>0</v>
      </c>
      <c r="E82" s="199" t="str">
        <f>IF(F82&gt;0,IF($E$9=1,D82-'Rents '!G80,D82-'Rents '!H80)," ")</f>
        <v xml:space="preserve"> </v>
      </c>
      <c r="F82" s="217">
        <v>0</v>
      </c>
      <c r="G82" s="199" t="str">
        <f t="shared" si="14"/>
        <v xml:space="preserve"> </v>
      </c>
      <c r="H82" s="112"/>
      <c r="I82" s="333">
        <v>0</v>
      </c>
      <c r="J82" s="199" t="str">
        <f>IF(K82&gt;0,IF($E$9=1,I82-'Rents '!G80,I82-'Rents '!H80)," ")</f>
        <v xml:space="preserve"> </v>
      </c>
      <c r="K82" s="217">
        <v>0</v>
      </c>
      <c r="L82" s="203" t="str">
        <f t="shared" si="15"/>
        <v xml:space="preserve"> </v>
      </c>
      <c r="N82">
        <f>'Rents '!D80</f>
        <v>0</v>
      </c>
    </row>
    <row r="83" spans="1:14" ht="15.75" customHeight="1">
      <c r="A83" s="264"/>
      <c r="B83" s="345"/>
      <c r="C83" s="260" t="s">
        <v>147</v>
      </c>
      <c r="D83" s="333">
        <v>0</v>
      </c>
      <c r="E83" s="199" t="str">
        <f>IF(F83&gt;0,IF($E$9=1,D83-'Rents '!G81,D83-'Rents '!H81)," ")</f>
        <v xml:space="preserve"> </v>
      </c>
      <c r="F83" s="217">
        <v>0</v>
      </c>
      <c r="G83" s="199" t="str">
        <f t="shared" si="14"/>
        <v xml:space="preserve"> </v>
      </c>
      <c r="H83" s="112"/>
      <c r="I83" s="333">
        <v>0</v>
      </c>
      <c r="J83" s="199" t="str">
        <f>IF(K83&gt;0,IF($E$9=1,I83-'Rents '!G81,I83-'Rents '!H81)," ")</f>
        <v xml:space="preserve"> </v>
      </c>
      <c r="K83" s="217">
        <v>0</v>
      </c>
      <c r="L83" s="203" t="str">
        <f t="shared" si="15"/>
        <v xml:space="preserve"> </v>
      </c>
      <c r="N83">
        <f>'Rents '!D81</f>
        <v>0</v>
      </c>
    </row>
    <row r="84" spans="1:14" ht="15.75" customHeight="1">
      <c r="A84" s="264"/>
      <c r="B84" s="286"/>
      <c r="C84" s="260" t="s">
        <v>148</v>
      </c>
      <c r="D84" s="333">
        <v>0</v>
      </c>
      <c r="E84" s="199" t="str">
        <f>IF(F84&gt;0,IF($E$9=1,D84-'Rents '!G82,D84-'Rents '!H82)," ")</f>
        <v xml:space="preserve"> </v>
      </c>
      <c r="F84" s="217">
        <v>0</v>
      </c>
      <c r="G84" s="199" t="str">
        <f t="shared" si="14"/>
        <v xml:space="preserve"> </v>
      </c>
      <c r="H84" s="112"/>
      <c r="I84" s="333">
        <v>0</v>
      </c>
      <c r="J84" s="199" t="str">
        <f>IF(K84&gt;0,IF($E$9=1,I84-'Rents '!G82,I84-'Rents '!H82)," ")</f>
        <v xml:space="preserve"> </v>
      </c>
      <c r="K84" s="217">
        <v>0</v>
      </c>
      <c r="L84" s="203" t="str">
        <f t="shared" si="15"/>
        <v xml:space="preserve"> </v>
      </c>
      <c r="N84">
        <f>'Rents '!D82</f>
        <v>0</v>
      </c>
    </row>
    <row r="85" spans="1:14" ht="15.75" customHeight="1">
      <c r="A85" s="264"/>
      <c r="B85" s="286"/>
      <c r="C85" s="260" t="s">
        <v>149</v>
      </c>
      <c r="D85" s="333">
        <v>0</v>
      </c>
      <c r="E85" s="199" t="str">
        <f>IF(F85&gt;0,IF($E$9=1,D85-'Rents '!G83,D85-'Rents '!H83)," ")</f>
        <v xml:space="preserve"> </v>
      </c>
      <c r="F85" s="217">
        <v>0</v>
      </c>
      <c r="G85" s="199" t="str">
        <f t="shared" si="14"/>
        <v xml:space="preserve"> </v>
      </c>
      <c r="H85" s="112"/>
      <c r="I85" s="333">
        <v>0</v>
      </c>
      <c r="J85" s="199" t="str">
        <f>IF(K85&gt;0,IF($E$9=1,I85-'Rents '!G83,I85-'Rents '!H83)," ")</f>
        <v xml:space="preserve"> </v>
      </c>
      <c r="K85" s="217">
        <v>0</v>
      </c>
      <c r="L85" s="203" t="str">
        <f t="shared" si="15"/>
        <v xml:space="preserve"> </v>
      </c>
      <c r="N85">
        <f>'Rents '!D83</f>
        <v>0</v>
      </c>
    </row>
    <row r="86" spans="1:14" ht="15.75" customHeight="1">
      <c r="A86" s="264"/>
      <c r="B86" s="286"/>
      <c r="C86" s="260" t="s">
        <v>150</v>
      </c>
      <c r="D86" s="333">
        <v>0</v>
      </c>
      <c r="E86" s="199" t="str">
        <f>IF(F86&gt;0,IF($E$9=1,D86-'Rents '!G84,D86-'Rents '!H84)," ")</f>
        <v xml:space="preserve"> </v>
      </c>
      <c r="F86" s="217">
        <v>0</v>
      </c>
      <c r="G86" s="199" t="str">
        <f t="shared" si="14"/>
        <v xml:space="preserve"> </v>
      </c>
      <c r="I86" s="333">
        <v>0</v>
      </c>
      <c r="J86" s="199" t="str">
        <f>IF(K86&gt;0,IF($E$9=1,I86-'Rents '!G84,I86-'Rents '!H84)," ")</f>
        <v xml:space="preserve"> </v>
      </c>
      <c r="K86" s="217">
        <v>0</v>
      </c>
      <c r="L86" s="203" t="str">
        <f t="shared" si="15"/>
        <v xml:space="preserve"> </v>
      </c>
      <c r="N86">
        <f>'Rents '!D84</f>
        <v>0</v>
      </c>
    </row>
    <row r="87" spans="1:14" ht="15.75" customHeight="1">
      <c r="A87" s="347"/>
      <c r="B87" s="348"/>
      <c r="C87" s="349"/>
      <c r="D87" s="7"/>
      <c r="E87" s="7"/>
      <c r="F87" s="34"/>
      <c r="G87" s="8"/>
      <c r="I87" s="116"/>
      <c r="J87" s="7"/>
      <c r="K87" s="34"/>
      <c r="L87" s="204"/>
    </row>
    <row r="88" spans="1:14" ht="15.75" customHeight="1">
      <c r="A88" s="341">
        <f>'Rents '!A86</f>
        <v>0</v>
      </c>
      <c r="B88" s="342">
        <f>'Rents '!B86</f>
        <v>0</v>
      </c>
      <c r="C88" s="257" t="s">
        <v>654</v>
      </c>
      <c r="D88" s="333">
        <v>0</v>
      </c>
      <c r="E88" s="199" t="str">
        <f>IF(F88&gt;0,IF($E$9=1,D88-'Rents '!G86,D88-'Rents '!H86)," ")</f>
        <v xml:space="preserve"> </v>
      </c>
      <c r="F88" s="217">
        <v>0</v>
      </c>
      <c r="G88" s="199" t="str">
        <f t="shared" ref="G88:G94" si="16">IF(F88&gt;0,+E88*F88," ")</f>
        <v xml:space="preserve"> </v>
      </c>
      <c r="I88" s="333">
        <v>0</v>
      </c>
      <c r="J88" s="199" t="str">
        <f>IF(K88&gt;0,IF($E$9=1,I88-'Rents '!G86,I88-'Rents '!H86)," ")</f>
        <v xml:space="preserve"> </v>
      </c>
      <c r="K88" s="217">
        <v>0</v>
      </c>
      <c r="L88" s="203" t="str">
        <f t="shared" ref="L88:L94" si="17">IF(K88&gt;0,+J88*K88," ")</f>
        <v xml:space="preserve"> </v>
      </c>
      <c r="N88">
        <f>'Rents '!D86</f>
        <v>0</v>
      </c>
    </row>
    <row r="89" spans="1:14" ht="15.75" customHeight="1">
      <c r="A89" s="259"/>
      <c r="B89" s="286"/>
      <c r="C89" s="260" t="s">
        <v>145</v>
      </c>
      <c r="D89" s="333">
        <v>0</v>
      </c>
      <c r="E89" s="199" t="str">
        <f>IF(F89&gt;0,IF($E$9=1,D89-'Rents '!G87,D89-'Rents '!H87)," ")</f>
        <v xml:space="preserve"> </v>
      </c>
      <c r="F89" s="217">
        <v>0</v>
      </c>
      <c r="G89" s="199" t="str">
        <f t="shared" si="16"/>
        <v xml:space="preserve"> </v>
      </c>
      <c r="I89" s="333">
        <v>0</v>
      </c>
      <c r="J89" s="199" t="str">
        <f>IF(K89&gt;0,IF($E$9=1,I89-'Rents '!G87,I89-'Rents '!H87)," ")</f>
        <v xml:space="preserve"> </v>
      </c>
      <c r="K89" s="217">
        <v>0</v>
      </c>
      <c r="L89" s="203" t="str">
        <f t="shared" si="17"/>
        <v xml:space="preserve"> </v>
      </c>
      <c r="N89">
        <f>'Rents '!D87</f>
        <v>0</v>
      </c>
    </row>
    <row r="90" spans="1:14" ht="15.75" customHeight="1">
      <c r="A90" s="344"/>
      <c r="B90" s="287"/>
      <c r="C90" s="260" t="s">
        <v>146</v>
      </c>
      <c r="D90" s="333">
        <v>0</v>
      </c>
      <c r="E90" s="199" t="str">
        <f>IF(F90&gt;0,IF($E$9=1,D90-'Rents '!G88,D90-'Rents '!H88)," ")</f>
        <v xml:space="preserve"> </v>
      </c>
      <c r="F90" s="217">
        <v>0</v>
      </c>
      <c r="G90" s="199" t="str">
        <f t="shared" si="16"/>
        <v xml:space="preserve"> </v>
      </c>
      <c r="I90" s="333">
        <v>0</v>
      </c>
      <c r="J90" s="199" t="str">
        <f>IF(K90&gt;0,IF($E$9=1,I90-'Rents '!G88,I90-'Rents '!H88)," ")</f>
        <v xml:space="preserve"> </v>
      </c>
      <c r="K90" s="217">
        <v>0</v>
      </c>
      <c r="L90" s="203" t="str">
        <f t="shared" si="17"/>
        <v xml:space="preserve"> </v>
      </c>
      <c r="N90">
        <f>'Rents '!D88</f>
        <v>0</v>
      </c>
    </row>
    <row r="91" spans="1:14" ht="15.75" customHeight="1">
      <c r="A91" s="264"/>
      <c r="B91" s="345"/>
      <c r="C91" s="260" t="s">
        <v>147</v>
      </c>
      <c r="D91" s="333">
        <v>0</v>
      </c>
      <c r="E91" s="199" t="str">
        <f>IF(F91&gt;0,IF($E$9=1,D91-'Rents '!G89,D91-'Rents '!H89)," ")</f>
        <v xml:space="preserve"> </v>
      </c>
      <c r="F91" s="217">
        <v>0</v>
      </c>
      <c r="G91" s="199" t="str">
        <f t="shared" si="16"/>
        <v xml:space="preserve"> </v>
      </c>
      <c r="I91" s="333">
        <v>0</v>
      </c>
      <c r="J91" s="199" t="str">
        <f>IF(K91&gt;0,IF($E$9=1,I91-'Rents '!G89,I91-'Rents '!H89)," ")</f>
        <v xml:space="preserve"> </v>
      </c>
      <c r="K91" s="217">
        <v>0</v>
      </c>
      <c r="L91" s="203" t="str">
        <f t="shared" si="17"/>
        <v xml:space="preserve"> </v>
      </c>
      <c r="N91">
        <f>'Rents '!D89</f>
        <v>0</v>
      </c>
    </row>
    <row r="92" spans="1:14" ht="15.75" customHeight="1">
      <c r="A92" s="264"/>
      <c r="B92" s="286"/>
      <c r="C92" s="260" t="s">
        <v>148</v>
      </c>
      <c r="D92" s="333">
        <v>0</v>
      </c>
      <c r="E92" s="199" t="str">
        <f>IF(F92&gt;0,IF($E$9=1,D92-'Rents '!G90,D92-'Rents '!H90)," ")</f>
        <v xml:space="preserve"> </v>
      </c>
      <c r="F92" s="217">
        <v>0</v>
      </c>
      <c r="G92" s="199" t="str">
        <f t="shared" si="16"/>
        <v xml:space="preserve"> </v>
      </c>
      <c r="I92" s="333">
        <v>0</v>
      </c>
      <c r="J92" s="199" t="str">
        <f>IF(K92&gt;0,IF($E$9=1,I92-'Rents '!G90,I92-'Rents '!H90)," ")</f>
        <v xml:space="preserve"> </v>
      </c>
      <c r="K92" s="217">
        <v>0</v>
      </c>
      <c r="L92" s="203" t="str">
        <f t="shared" si="17"/>
        <v xml:space="preserve"> </v>
      </c>
      <c r="N92">
        <f>'Rents '!D90</f>
        <v>0</v>
      </c>
    </row>
    <row r="93" spans="1:14" ht="15.75" customHeight="1">
      <c r="A93" s="264"/>
      <c r="B93" s="286"/>
      <c r="C93" s="260" t="s">
        <v>149</v>
      </c>
      <c r="D93" s="333">
        <v>0</v>
      </c>
      <c r="E93" s="199" t="str">
        <f>IF(F93&gt;0,IF($E$9=1,D93-'Rents '!G91,D93-'Rents '!H91)," ")</f>
        <v xml:space="preserve"> </v>
      </c>
      <c r="F93" s="217">
        <v>0</v>
      </c>
      <c r="G93" s="199" t="str">
        <f t="shared" si="16"/>
        <v xml:space="preserve"> </v>
      </c>
      <c r="I93" s="333">
        <v>0</v>
      </c>
      <c r="J93" s="199" t="str">
        <f>IF(K93&gt;0,IF($E$9=1,I93-'Rents '!G91,I93-'Rents '!H91)," ")</f>
        <v xml:space="preserve"> </v>
      </c>
      <c r="K93" s="217">
        <v>0</v>
      </c>
      <c r="L93" s="203" t="str">
        <f t="shared" si="17"/>
        <v xml:space="preserve"> </v>
      </c>
      <c r="N93">
        <f>'Rents '!D91</f>
        <v>0</v>
      </c>
    </row>
    <row r="94" spans="1:14" ht="15.75" customHeight="1">
      <c r="A94" s="264"/>
      <c r="B94" s="286"/>
      <c r="C94" s="260" t="s">
        <v>150</v>
      </c>
      <c r="D94" s="333">
        <v>0</v>
      </c>
      <c r="E94" s="199" t="str">
        <f>IF(F94&gt;0,IF($E$9=1,D94-'Rents '!G92,D94-'Rents '!H92)," ")</f>
        <v xml:space="preserve"> </v>
      </c>
      <c r="F94" s="217">
        <v>0</v>
      </c>
      <c r="G94" s="199" t="str">
        <f t="shared" si="16"/>
        <v xml:space="preserve"> </v>
      </c>
      <c r="I94" s="333">
        <v>0</v>
      </c>
      <c r="J94" s="199" t="str">
        <f>IF(K94&gt;0,IF($E$9=1,I94-'Rents '!G92,I94-'Rents '!H92)," ")</f>
        <v xml:space="preserve"> </v>
      </c>
      <c r="K94" s="217">
        <v>0</v>
      </c>
      <c r="L94" s="203" t="str">
        <f t="shared" si="17"/>
        <v xml:space="preserve"> </v>
      </c>
      <c r="N94">
        <f>'Rents '!D92</f>
        <v>0</v>
      </c>
    </row>
    <row r="95" spans="1:14" ht="15.75" customHeight="1">
      <c r="A95" s="347"/>
      <c r="B95" s="348"/>
      <c r="C95" s="349"/>
      <c r="D95" s="7"/>
      <c r="E95" s="7"/>
      <c r="F95" s="34"/>
      <c r="G95" s="8"/>
      <c r="I95" s="116"/>
      <c r="J95" s="7"/>
      <c r="K95" s="34"/>
      <c r="L95" s="204"/>
    </row>
    <row r="96" spans="1:14" ht="15.75" customHeight="1">
      <c r="A96" s="341">
        <f>'Rents '!A94</f>
        <v>0</v>
      </c>
      <c r="B96" s="342">
        <f>'Rents '!B94</f>
        <v>0</v>
      </c>
      <c r="C96" s="257" t="s">
        <v>654</v>
      </c>
      <c r="D96" s="333">
        <v>0</v>
      </c>
      <c r="E96" s="199" t="str">
        <f>IF(F96&gt;0,IF($E$9=1,D96-'Rents '!G94,D96-'Rents '!H94)," ")</f>
        <v xml:space="preserve"> </v>
      </c>
      <c r="F96" s="217">
        <v>0</v>
      </c>
      <c r="G96" s="199" t="str">
        <f t="shared" ref="G96:G102" si="18">IF(F96&gt;0,+E96*F96," ")</f>
        <v xml:space="preserve"> </v>
      </c>
      <c r="I96" s="333">
        <v>0</v>
      </c>
      <c r="J96" s="199" t="str">
        <f>IF(K96&gt;0,IF($E$9=1,I96-'Rents '!G94,I96-'Rents '!H94)," ")</f>
        <v xml:space="preserve"> </v>
      </c>
      <c r="K96" s="217">
        <v>0</v>
      </c>
      <c r="L96" s="203" t="str">
        <f t="shared" ref="L96:L102" si="19">IF(K96&gt;0,+J96*K96," ")</f>
        <v xml:space="preserve"> </v>
      </c>
      <c r="N96">
        <f>'Rents '!D94</f>
        <v>0</v>
      </c>
    </row>
    <row r="97" spans="1:14" ht="15.75" customHeight="1">
      <c r="A97" s="259"/>
      <c r="B97" s="286"/>
      <c r="C97" s="260" t="s">
        <v>145</v>
      </c>
      <c r="D97" s="333">
        <v>0</v>
      </c>
      <c r="E97" s="199" t="str">
        <f>IF(F97&gt;0,IF($E$9=1,D97-'Rents '!G95,D97-'Rents '!H95)," ")</f>
        <v xml:space="preserve"> </v>
      </c>
      <c r="F97" s="217">
        <v>0</v>
      </c>
      <c r="G97" s="199" t="str">
        <f t="shared" si="18"/>
        <v xml:space="preserve"> </v>
      </c>
      <c r="I97" s="333">
        <v>0</v>
      </c>
      <c r="J97" s="199" t="str">
        <f>IF(K97&gt;0,IF($E$9=1,I97-'Rents '!G95,I97-'Rents '!H95)," ")</f>
        <v xml:space="preserve"> </v>
      </c>
      <c r="K97" s="217">
        <v>0</v>
      </c>
      <c r="L97" s="203" t="str">
        <f t="shared" si="19"/>
        <v xml:space="preserve"> </v>
      </c>
      <c r="N97">
        <f>'Rents '!D95</f>
        <v>0</v>
      </c>
    </row>
    <row r="98" spans="1:14" ht="15.75" customHeight="1">
      <c r="A98" s="344"/>
      <c r="B98" s="287"/>
      <c r="C98" s="260" t="s">
        <v>146</v>
      </c>
      <c r="D98" s="333">
        <v>0</v>
      </c>
      <c r="E98" s="199" t="str">
        <f>IF(F98&gt;0,IF($E$9=1,D98-'Rents '!G96,D98-'Rents '!H96)," ")</f>
        <v xml:space="preserve"> </v>
      </c>
      <c r="F98" s="217">
        <v>0</v>
      </c>
      <c r="G98" s="199" t="str">
        <f t="shared" si="18"/>
        <v xml:space="preserve"> </v>
      </c>
      <c r="I98" s="333">
        <v>0</v>
      </c>
      <c r="J98" s="199" t="str">
        <f>IF(K98&gt;0,IF($E$9=1,I98-'Rents '!G96,I98-'Rents '!H96)," ")</f>
        <v xml:space="preserve"> </v>
      </c>
      <c r="K98" s="217">
        <v>0</v>
      </c>
      <c r="L98" s="203" t="str">
        <f t="shared" si="19"/>
        <v xml:space="preserve"> </v>
      </c>
      <c r="N98">
        <f>'Rents '!D96</f>
        <v>0</v>
      </c>
    </row>
    <row r="99" spans="1:14" ht="15.75" customHeight="1">
      <c r="A99" s="264"/>
      <c r="B99" s="345"/>
      <c r="C99" s="260" t="s">
        <v>147</v>
      </c>
      <c r="D99" s="333">
        <v>0</v>
      </c>
      <c r="E99" s="199" t="str">
        <f>IF(F99&gt;0,IF($E$9=1,D99-'Rents '!G97,D99-'Rents '!H97)," ")</f>
        <v xml:space="preserve"> </v>
      </c>
      <c r="F99" s="217">
        <v>0</v>
      </c>
      <c r="G99" s="199" t="str">
        <f t="shared" si="18"/>
        <v xml:space="preserve"> </v>
      </c>
      <c r="I99" s="333">
        <v>0</v>
      </c>
      <c r="J99" s="199" t="str">
        <f>IF(K99&gt;0,IF($E$9=1,I99-'Rents '!G97,I99-'Rents '!H97)," ")</f>
        <v xml:space="preserve"> </v>
      </c>
      <c r="K99" s="217">
        <v>0</v>
      </c>
      <c r="L99" s="203" t="str">
        <f t="shared" si="19"/>
        <v xml:space="preserve"> </v>
      </c>
      <c r="N99">
        <f>'Rents '!D97</f>
        <v>0</v>
      </c>
    </row>
    <row r="100" spans="1:14" ht="15.75" customHeight="1">
      <c r="A100" s="264"/>
      <c r="B100" s="286"/>
      <c r="C100" s="260" t="s">
        <v>148</v>
      </c>
      <c r="D100" s="333">
        <v>0</v>
      </c>
      <c r="E100" s="199" t="str">
        <f>IF(F100&gt;0,IF($E$9=1,D100-'Rents '!G98,D100-'Rents '!H98)," ")</f>
        <v xml:space="preserve"> </v>
      </c>
      <c r="F100" s="217">
        <v>0</v>
      </c>
      <c r="G100" s="199" t="str">
        <f t="shared" si="18"/>
        <v xml:space="preserve"> </v>
      </c>
      <c r="I100" s="333">
        <v>0</v>
      </c>
      <c r="J100" s="199" t="str">
        <f>IF(K100&gt;0,IF($E$9=1,I100-'Rents '!G98,I100-'Rents '!H98)," ")</f>
        <v xml:space="preserve"> </v>
      </c>
      <c r="K100" s="217">
        <v>0</v>
      </c>
      <c r="L100" s="203" t="str">
        <f t="shared" si="19"/>
        <v xml:space="preserve"> </v>
      </c>
      <c r="N100">
        <f>'Rents '!D98</f>
        <v>0</v>
      </c>
    </row>
    <row r="101" spans="1:14" ht="15.75" customHeight="1">
      <c r="A101" s="264"/>
      <c r="B101" s="286"/>
      <c r="C101" s="260" t="s">
        <v>149</v>
      </c>
      <c r="D101" s="333">
        <v>0</v>
      </c>
      <c r="E101" s="199" t="str">
        <f>IF(F101&gt;0,IF($E$9=1,D101-'Rents '!G99,D101-'Rents '!H99)," ")</f>
        <v xml:space="preserve"> </v>
      </c>
      <c r="F101" s="217">
        <v>0</v>
      </c>
      <c r="G101" s="199" t="str">
        <f t="shared" si="18"/>
        <v xml:space="preserve"> </v>
      </c>
      <c r="I101" s="333">
        <v>0</v>
      </c>
      <c r="J101" s="199" t="str">
        <f>IF(K101&gt;0,IF($E$9=1,I101-'Rents '!G99,I101-'Rents '!H99)," ")</f>
        <v xml:space="preserve"> </v>
      </c>
      <c r="K101" s="217">
        <v>0</v>
      </c>
      <c r="L101" s="203" t="str">
        <f t="shared" si="19"/>
        <v xml:space="preserve"> </v>
      </c>
      <c r="N101">
        <f>'Rents '!D99</f>
        <v>0</v>
      </c>
    </row>
    <row r="102" spans="1:14" ht="15.75" customHeight="1">
      <c r="A102" s="264"/>
      <c r="B102" s="286"/>
      <c r="C102" s="260" t="s">
        <v>150</v>
      </c>
      <c r="D102" s="333">
        <v>0</v>
      </c>
      <c r="E102" s="199" t="str">
        <f>IF(F102&gt;0,IF($E$9=1,D102-'Rents '!G100,D102-'Rents '!H100)," ")</f>
        <v xml:space="preserve"> </v>
      </c>
      <c r="F102" s="217">
        <v>0</v>
      </c>
      <c r="G102" s="199" t="str">
        <f t="shared" si="18"/>
        <v xml:space="preserve"> </v>
      </c>
      <c r="I102" s="333">
        <v>0</v>
      </c>
      <c r="J102" s="199" t="str">
        <f>IF(K102&gt;0,IF($E$9=1,I102-'Rents '!G100,I102-'Rents '!H100)," ")</f>
        <v xml:space="preserve"> </v>
      </c>
      <c r="K102" s="217">
        <v>0</v>
      </c>
      <c r="L102" s="203" t="str">
        <f t="shared" si="19"/>
        <v xml:space="preserve"> </v>
      </c>
      <c r="N102">
        <f>'Rents '!D100</f>
        <v>0</v>
      </c>
    </row>
    <row r="103" spans="1:14" ht="15.75" customHeight="1">
      <c r="A103" s="347"/>
      <c r="B103" s="348"/>
      <c r="C103" s="349"/>
      <c r="D103" s="7"/>
      <c r="E103" s="7"/>
      <c r="F103" s="34"/>
      <c r="G103" s="8"/>
      <c r="I103" s="116"/>
      <c r="J103" s="7"/>
      <c r="K103" s="34"/>
      <c r="L103" s="204"/>
    </row>
    <row r="104" spans="1:14" ht="15.75" customHeight="1">
      <c r="A104" s="341">
        <f>'Rents '!A102</f>
        <v>0</v>
      </c>
      <c r="B104" s="342">
        <f>'Rents '!B102</f>
        <v>0</v>
      </c>
      <c r="C104" s="257" t="s">
        <v>654</v>
      </c>
      <c r="D104" s="333">
        <v>0</v>
      </c>
      <c r="E104" s="199" t="str">
        <f>IF(F104&gt;0,IF($E$9=1,D104-'Rents '!G102,D104-'Rents '!H102)," ")</f>
        <v xml:space="preserve"> </v>
      </c>
      <c r="F104" s="217">
        <v>0</v>
      </c>
      <c r="G104" s="199" t="str">
        <f t="shared" ref="G104:G110" si="20">IF(F104&gt;0,+E104*F104," ")</f>
        <v xml:space="preserve"> </v>
      </c>
      <c r="I104" s="333">
        <v>0</v>
      </c>
      <c r="J104" s="199" t="str">
        <f>IF(K104&gt;0,IF($E$9=1,I104-'Rents '!G102,I104-'Rents '!H102)," ")</f>
        <v xml:space="preserve"> </v>
      </c>
      <c r="K104" s="217">
        <v>0</v>
      </c>
      <c r="L104" s="203" t="str">
        <f t="shared" ref="L104:L110" si="21">IF(K104&gt;0,+J104*K104," ")</f>
        <v xml:space="preserve"> </v>
      </c>
      <c r="N104">
        <f>'Rents '!D102</f>
        <v>0</v>
      </c>
    </row>
    <row r="105" spans="1:14" ht="15.75" customHeight="1">
      <c r="A105" s="259"/>
      <c r="B105" s="286"/>
      <c r="C105" s="260" t="s">
        <v>145</v>
      </c>
      <c r="D105" s="333">
        <v>0</v>
      </c>
      <c r="E105" s="199" t="str">
        <f>IF(F105&gt;0,IF($E$9=1,D105-'Rents '!G103,D105-'Rents '!H103)," ")</f>
        <v xml:space="preserve"> </v>
      </c>
      <c r="F105" s="217">
        <v>0</v>
      </c>
      <c r="G105" s="199" t="str">
        <f t="shared" si="20"/>
        <v xml:space="preserve"> </v>
      </c>
      <c r="I105" s="333">
        <v>0</v>
      </c>
      <c r="J105" s="199" t="str">
        <f>IF(K105&gt;0,IF($E$9=1,I105-'Rents '!G103,I105-'Rents '!H103)," ")</f>
        <v xml:space="preserve"> </v>
      </c>
      <c r="K105" s="217">
        <v>0</v>
      </c>
      <c r="L105" s="203" t="str">
        <f t="shared" si="21"/>
        <v xml:space="preserve"> </v>
      </c>
      <c r="N105">
        <f>'Rents '!D103</f>
        <v>0</v>
      </c>
    </row>
    <row r="106" spans="1:14" ht="15.75" customHeight="1">
      <c r="A106" s="344"/>
      <c r="B106" s="287"/>
      <c r="C106" s="260" t="s">
        <v>146</v>
      </c>
      <c r="D106" s="333">
        <v>0</v>
      </c>
      <c r="E106" s="199" t="str">
        <f>IF(F106&gt;0,IF($E$9=1,D106-'Rents '!G104,D106-'Rents '!H104)," ")</f>
        <v xml:space="preserve"> </v>
      </c>
      <c r="F106" s="217">
        <v>0</v>
      </c>
      <c r="G106" s="199" t="str">
        <f t="shared" si="20"/>
        <v xml:space="preserve"> </v>
      </c>
      <c r="I106" s="333">
        <v>0</v>
      </c>
      <c r="J106" s="199" t="str">
        <f>IF(K106&gt;0,IF($E$9=1,I106-'Rents '!G104,I106-'Rents '!H104)," ")</f>
        <v xml:space="preserve"> </v>
      </c>
      <c r="K106" s="217">
        <v>0</v>
      </c>
      <c r="L106" s="203" t="str">
        <f t="shared" si="21"/>
        <v xml:space="preserve"> </v>
      </c>
      <c r="N106">
        <f>'Rents '!D104</f>
        <v>0</v>
      </c>
    </row>
    <row r="107" spans="1:14" ht="15.75" customHeight="1">
      <c r="A107" s="264"/>
      <c r="B107" s="345"/>
      <c r="C107" s="260" t="s">
        <v>147</v>
      </c>
      <c r="D107" s="333">
        <v>0</v>
      </c>
      <c r="E107" s="199" t="str">
        <f>IF(F107&gt;0,IF($E$9=1,D107-'Rents '!G105,D107-'Rents '!H105)," ")</f>
        <v xml:space="preserve"> </v>
      </c>
      <c r="F107" s="217">
        <v>0</v>
      </c>
      <c r="G107" s="199" t="str">
        <f t="shared" si="20"/>
        <v xml:space="preserve"> </v>
      </c>
      <c r="I107" s="333">
        <v>0</v>
      </c>
      <c r="J107" s="199" t="str">
        <f>IF(K107&gt;0,IF($E$9=1,I107-'Rents '!G105,I107-'Rents '!H105)," ")</f>
        <v xml:space="preserve"> </v>
      </c>
      <c r="K107" s="217">
        <v>0</v>
      </c>
      <c r="L107" s="203" t="str">
        <f t="shared" si="21"/>
        <v xml:space="preserve"> </v>
      </c>
      <c r="N107">
        <f>'Rents '!D105</f>
        <v>0</v>
      </c>
    </row>
    <row r="108" spans="1:14" ht="15.75" customHeight="1">
      <c r="A108" s="264"/>
      <c r="B108" s="286"/>
      <c r="C108" s="260" t="s">
        <v>148</v>
      </c>
      <c r="D108" s="333">
        <v>0</v>
      </c>
      <c r="E108" s="199" t="str">
        <f>IF(F108&gt;0,IF($E$9=1,D108-'Rents '!G106,D108-'Rents '!H106)," ")</f>
        <v xml:space="preserve"> </v>
      </c>
      <c r="F108" s="217">
        <v>0</v>
      </c>
      <c r="G108" s="199" t="str">
        <f t="shared" si="20"/>
        <v xml:space="preserve"> </v>
      </c>
      <c r="I108" s="333">
        <v>0</v>
      </c>
      <c r="J108" s="199" t="str">
        <f>IF(K108&gt;0,IF($E$9=1,I108-'Rents '!G106,I108-'Rents '!H106)," ")</f>
        <v xml:space="preserve"> </v>
      </c>
      <c r="K108" s="217">
        <v>0</v>
      </c>
      <c r="L108" s="203" t="str">
        <f t="shared" si="21"/>
        <v xml:space="preserve"> </v>
      </c>
      <c r="N108">
        <f>'Rents '!D106</f>
        <v>0</v>
      </c>
    </row>
    <row r="109" spans="1:14" ht="15.75" customHeight="1">
      <c r="A109" s="264"/>
      <c r="B109" s="286"/>
      <c r="C109" s="260" t="s">
        <v>149</v>
      </c>
      <c r="D109" s="333">
        <v>0</v>
      </c>
      <c r="E109" s="199" t="str">
        <f>IF(F109&gt;0,IF($E$9=1,D109-'Rents '!G107,D109-'Rents '!H107)," ")</f>
        <v xml:space="preserve"> </v>
      </c>
      <c r="F109" s="217">
        <v>0</v>
      </c>
      <c r="G109" s="199" t="str">
        <f t="shared" si="20"/>
        <v xml:space="preserve"> </v>
      </c>
      <c r="I109" s="333">
        <v>0</v>
      </c>
      <c r="J109" s="199" t="str">
        <f>IF(K109&gt;0,IF($E$9=1,I109-'Rents '!G107,I109-'Rents '!H107)," ")</f>
        <v xml:space="preserve"> </v>
      </c>
      <c r="K109" s="217">
        <v>0</v>
      </c>
      <c r="L109" s="203" t="str">
        <f t="shared" si="21"/>
        <v xml:space="preserve"> </v>
      </c>
      <c r="N109">
        <f>'Rents '!D107</f>
        <v>0</v>
      </c>
    </row>
    <row r="110" spans="1:14" ht="15.75" customHeight="1">
      <c r="A110" s="347"/>
      <c r="B110" s="348"/>
      <c r="C110" s="260" t="s">
        <v>150</v>
      </c>
      <c r="D110" s="333">
        <v>0</v>
      </c>
      <c r="E110" s="199" t="str">
        <f>IF(F110&gt;0,IF($E$9=1,D110-'Rents '!G108,D110-'Rents '!H108)," ")</f>
        <v xml:space="preserve"> </v>
      </c>
      <c r="F110" s="217">
        <v>0</v>
      </c>
      <c r="G110" s="199" t="str">
        <f t="shared" si="20"/>
        <v xml:space="preserve"> </v>
      </c>
      <c r="I110" s="333">
        <v>0</v>
      </c>
      <c r="J110" s="199" t="str">
        <f>IF(K110&gt;0,IF($E$9=1,I110-'Rents '!G108,I110-'Rents '!H108)," ")</f>
        <v xml:space="preserve"> </v>
      </c>
      <c r="K110" s="217">
        <v>0</v>
      </c>
      <c r="L110" s="203" t="str">
        <f t="shared" si="21"/>
        <v xml:space="preserve"> </v>
      </c>
      <c r="N110">
        <f>'Rents '!D108</f>
        <v>0</v>
      </c>
    </row>
    <row r="111" spans="1:14" ht="15.75" customHeight="1">
      <c r="A111" s="10"/>
      <c r="E111" s="60" t="s">
        <v>198</v>
      </c>
      <c r="F111" s="360">
        <f>SUM(F18:F110)</f>
        <v>0</v>
      </c>
      <c r="G111" s="14"/>
      <c r="J111" s="60" t="s">
        <v>198</v>
      </c>
      <c r="K111" s="360">
        <f>SUM(K18:K110)</f>
        <v>0</v>
      </c>
      <c r="L111" s="115"/>
    </row>
    <row r="112" spans="1:14" ht="15.75" customHeight="1" thickBot="1">
      <c r="A112" s="87"/>
      <c r="B112" s="19"/>
      <c r="C112" s="19"/>
      <c r="D112" s="19"/>
      <c r="E112" s="222" t="s">
        <v>199</v>
      </c>
      <c r="F112" s="189"/>
      <c r="G112" s="595">
        <f>SUMIF(G18:G110,"&gt;0",G18:G110)</f>
        <v>0</v>
      </c>
      <c r="H112" s="19"/>
      <c r="I112" s="19"/>
      <c r="J112" s="222" t="s">
        <v>199</v>
      </c>
      <c r="K112" s="189"/>
      <c r="L112" s="596">
        <f>SUMIF(L18:L110,"&gt;0",L18:L110)</f>
        <v>0</v>
      </c>
    </row>
    <row r="113" spans="1:12" ht="13.5" thickBot="1">
      <c r="A113" s="87"/>
      <c r="B113" s="19"/>
      <c r="C113" s="19"/>
      <c r="D113" s="19"/>
      <c r="E113" s="19"/>
      <c r="F113" s="19"/>
      <c r="G113" s="19"/>
      <c r="H113" s="19"/>
      <c r="I113" s="19"/>
      <c r="J113" s="19"/>
      <c r="K113" s="19"/>
      <c r="L113" s="20"/>
    </row>
    <row r="114" spans="1:12" ht="15.75">
      <c r="A114" s="2019" t="s">
        <v>310</v>
      </c>
      <c r="B114" s="2020"/>
      <c r="C114" s="2020"/>
      <c r="D114" s="2020"/>
      <c r="E114" s="2020"/>
      <c r="F114" s="2021"/>
      <c r="G114" s="2021"/>
      <c r="H114" s="2021"/>
      <c r="I114" s="2021"/>
      <c r="J114" s="2021"/>
      <c r="K114" s="2021"/>
      <c r="L114" s="2022"/>
    </row>
    <row r="115" spans="1:12">
      <c r="A115" s="2026" t="s">
        <v>605</v>
      </c>
      <c r="B115" s="2026"/>
      <c r="C115" s="2026"/>
      <c r="D115" s="2026"/>
      <c r="E115" s="2024"/>
      <c r="F115" s="2025"/>
      <c r="G115" s="2024"/>
      <c r="H115" s="2025"/>
      <c r="I115" s="2024"/>
      <c r="J115" s="2025"/>
      <c r="K115" s="2024"/>
      <c r="L115" s="2025"/>
    </row>
    <row r="116" spans="1:12">
      <c r="A116" s="2023" t="s">
        <v>225</v>
      </c>
      <c r="B116" s="2023"/>
      <c r="C116" s="2023"/>
      <c r="D116" s="2023"/>
      <c r="E116" s="2024"/>
      <c r="F116" s="2025"/>
      <c r="G116" s="2024"/>
      <c r="H116" s="2025"/>
      <c r="I116" s="2024"/>
      <c r="J116" s="2025"/>
      <c r="K116" s="2024"/>
      <c r="L116" s="2025"/>
    </row>
    <row r="117" spans="1:12">
      <c r="A117" s="2023" t="s">
        <v>606</v>
      </c>
      <c r="B117" s="2023"/>
      <c r="C117" s="2023"/>
      <c r="D117" s="2023"/>
      <c r="E117" s="548"/>
      <c r="F117" s="549"/>
      <c r="G117" s="548"/>
      <c r="H117" s="549"/>
      <c r="I117" s="548"/>
      <c r="J117" s="549"/>
      <c r="K117" s="548"/>
      <c r="L117" s="549"/>
    </row>
    <row r="118" spans="1:12" ht="26.25" customHeight="1">
      <c r="A118" s="2027" t="s">
        <v>226</v>
      </c>
      <c r="B118" s="2027"/>
      <c r="C118" s="2027"/>
      <c r="D118" s="2027"/>
      <c r="E118" s="2028"/>
      <c r="F118" s="2029"/>
      <c r="G118" s="2028"/>
      <c r="H118" s="2029"/>
      <c r="I118" s="2028"/>
      <c r="J118" s="2029"/>
      <c r="K118" s="2028"/>
      <c r="L118" s="2029"/>
    </row>
    <row r="119" spans="1:12">
      <c r="A119" s="2023" t="s">
        <v>607</v>
      </c>
      <c r="B119" s="2023"/>
      <c r="C119" s="2023"/>
      <c r="D119" s="2023"/>
      <c r="E119" s="2028"/>
      <c r="F119" s="2029"/>
      <c r="G119" s="2028"/>
      <c r="H119" s="2029"/>
      <c r="I119" s="2028"/>
      <c r="J119" s="2029"/>
      <c r="K119" s="2028"/>
      <c r="L119" s="2029"/>
    </row>
    <row r="120" spans="1:12">
      <c r="A120" s="2036" t="s">
        <v>608</v>
      </c>
      <c r="B120" s="2036"/>
      <c r="C120" s="2036"/>
      <c r="D120" s="2036"/>
      <c r="E120" s="2031"/>
      <c r="F120" s="2032"/>
      <c r="G120" s="2031"/>
      <c r="H120" s="2032"/>
      <c r="I120" s="2031"/>
      <c r="J120" s="2032"/>
      <c r="K120" s="2031"/>
      <c r="L120" s="2032"/>
    </row>
    <row r="121" spans="1:12" ht="26.25" customHeight="1">
      <c r="A121" s="2030" t="s">
        <v>227</v>
      </c>
      <c r="B121" s="2030"/>
      <c r="C121" s="2030"/>
      <c r="D121" s="2030"/>
      <c r="E121" s="2033"/>
      <c r="F121" s="2035"/>
      <c r="G121" s="2033"/>
      <c r="H121" s="2034"/>
      <c r="I121" s="2033"/>
      <c r="J121" s="2034"/>
      <c r="K121" s="2033"/>
      <c r="L121" s="2034"/>
    </row>
    <row r="122" spans="1:12" ht="26.25" customHeight="1">
      <c r="A122" s="2030" t="s">
        <v>228</v>
      </c>
      <c r="B122" s="2030"/>
      <c r="C122" s="2030"/>
      <c r="D122" s="2030"/>
      <c r="E122" s="2024"/>
      <c r="F122" s="2025"/>
      <c r="G122" s="2024"/>
      <c r="H122" s="2025"/>
      <c r="I122" s="2024"/>
      <c r="J122" s="2025"/>
      <c r="K122" s="2024"/>
      <c r="L122" s="2025"/>
    </row>
    <row r="123" spans="1:12">
      <c r="A123" s="10"/>
      <c r="L123" s="11"/>
    </row>
    <row r="124" spans="1:12">
      <c r="A124" s="361" t="s">
        <v>216</v>
      </c>
      <c r="L124" s="11"/>
    </row>
    <row r="125" spans="1:12">
      <c r="A125" s="10"/>
      <c r="L125" s="11"/>
    </row>
    <row r="126" spans="1:12">
      <c r="A126" s="130" t="s">
        <v>402</v>
      </c>
      <c r="B126" s="128"/>
      <c r="C126" s="128"/>
      <c r="D126" s="128"/>
      <c r="E126" s="128"/>
      <c r="F126" s="128"/>
      <c r="G126" s="128"/>
      <c r="H126" s="128"/>
      <c r="L126" s="11"/>
    </row>
    <row r="127" spans="1:12">
      <c r="A127" s="17" t="s">
        <v>249</v>
      </c>
      <c r="B127" s="16"/>
      <c r="C127" s="159"/>
      <c r="D127" s="159"/>
      <c r="E127" s="159"/>
      <c r="F127" s="159"/>
      <c r="G127" s="159"/>
      <c r="H127" s="159"/>
      <c r="L127" s="11"/>
    </row>
    <row r="128" spans="1:12">
      <c r="A128" s="10"/>
      <c r="B128" s="16"/>
      <c r="C128" s="16"/>
      <c r="D128" s="16"/>
      <c r="E128" s="16"/>
      <c r="F128" s="16"/>
      <c r="G128" s="16"/>
      <c r="H128" s="16"/>
      <c r="L128" s="11"/>
    </row>
    <row r="129" spans="1:12">
      <c r="A129" s="17" t="s">
        <v>221</v>
      </c>
      <c r="B129" s="16"/>
      <c r="C129" s="362"/>
      <c r="J129" s="14"/>
      <c r="K129" s="117"/>
      <c r="L129" s="131"/>
    </row>
    <row r="130" spans="1:12">
      <c r="A130" s="363"/>
      <c r="L130" s="11"/>
    </row>
    <row r="131" spans="1:12">
      <c r="A131" s="17" t="s">
        <v>251</v>
      </c>
      <c r="B131" s="16"/>
      <c r="C131" s="16"/>
      <c r="D131" s="16"/>
      <c r="E131" s="16"/>
      <c r="J131" s="14"/>
      <c r="K131" s="117"/>
      <c r="L131" s="131"/>
    </row>
    <row r="132" spans="1:12">
      <c r="A132" s="363"/>
      <c r="J132" s="159"/>
      <c r="K132" s="41"/>
      <c r="L132" s="11"/>
    </row>
    <row r="133" spans="1:12" ht="13.5" thickBot="1">
      <c r="A133" s="1989" t="s">
        <v>222</v>
      </c>
      <c r="B133" s="1990"/>
      <c r="C133" s="1990"/>
      <c r="D133" s="1990"/>
      <c r="E133" s="1990"/>
      <c r="F133" s="1990"/>
      <c r="G133" s="1990"/>
      <c r="H133" s="1990"/>
      <c r="I133" s="1990"/>
      <c r="J133" s="1990"/>
      <c r="K133" s="1990"/>
      <c r="L133" s="1991"/>
    </row>
    <row r="134" spans="1:12">
      <c r="A134" s="194" t="s">
        <v>219</v>
      </c>
      <c r="B134" s="195"/>
      <c r="C134" s="195"/>
      <c r="D134" s="195"/>
      <c r="E134" s="195"/>
      <c r="F134" s="195"/>
      <c r="G134" s="195"/>
      <c r="H134" s="195"/>
      <c r="I134" s="68"/>
      <c r="J134" s="68"/>
      <c r="K134" s="68"/>
      <c r="L134" s="91"/>
    </row>
    <row r="135" spans="1:12">
      <c r="A135" s="2037"/>
      <c r="B135" s="2038"/>
      <c r="C135" s="2038"/>
      <c r="D135" s="2038"/>
      <c r="E135" s="2038"/>
      <c r="F135" s="2038"/>
      <c r="G135" s="2038"/>
      <c r="H135" s="2038"/>
      <c r="I135" s="2038"/>
      <c r="J135" s="2038"/>
      <c r="K135" s="2038"/>
      <c r="L135" s="2039"/>
    </row>
    <row r="136" spans="1:12">
      <c r="A136" s="2037"/>
      <c r="B136" s="2038"/>
      <c r="C136" s="2038"/>
      <c r="D136" s="2038"/>
      <c r="E136" s="2038"/>
      <c r="F136" s="2038"/>
      <c r="G136" s="2038"/>
      <c r="H136" s="2038"/>
      <c r="I136" s="2038"/>
      <c r="J136" s="2038"/>
      <c r="K136" s="2038"/>
      <c r="L136" s="2039"/>
    </row>
    <row r="137" spans="1:12">
      <c r="A137" s="2037"/>
      <c r="B137" s="2038"/>
      <c r="C137" s="2038"/>
      <c r="D137" s="2038"/>
      <c r="E137" s="2038"/>
      <c r="F137" s="2038"/>
      <c r="G137" s="2038"/>
      <c r="H137" s="2038"/>
      <c r="I137" s="2038"/>
      <c r="J137" s="2038"/>
      <c r="K137" s="2038"/>
      <c r="L137" s="2039"/>
    </row>
    <row r="138" spans="1:12">
      <c r="A138" s="2037"/>
      <c r="B138" s="2038"/>
      <c r="C138" s="2038"/>
      <c r="D138" s="2038"/>
      <c r="E138" s="2038"/>
      <c r="F138" s="2038"/>
      <c r="G138" s="2038"/>
      <c r="H138" s="2038"/>
      <c r="I138" s="2038"/>
      <c r="J138" s="2038"/>
      <c r="K138" s="2038"/>
      <c r="L138" s="2039"/>
    </row>
    <row r="139" spans="1:12">
      <c r="A139" s="2037"/>
      <c r="B139" s="2038"/>
      <c r="C139" s="2038"/>
      <c r="D139" s="2038"/>
      <c r="E139" s="2038"/>
      <c r="F139" s="2038"/>
      <c r="G139" s="2038"/>
      <c r="H139" s="2038"/>
      <c r="I139" s="2038"/>
      <c r="J139" s="2038"/>
      <c r="K139" s="2038"/>
      <c r="L139" s="2039"/>
    </row>
    <row r="140" spans="1:12">
      <c r="A140" s="2037"/>
      <c r="B140" s="2038"/>
      <c r="C140" s="2038"/>
      <c r="D140" s="2038"/>
      <c r="E140" s="2038"/>
      <c r="F140" s="2038"/>
      <c r="G140" s="2038"/>
      <c r="H140" s="2038"/>
      <c r="I140" s="2038"/>
      <c r="J140" s="2038"/>
      <c r="K140" s="2038"/>
      <c r="L140" s="2039"/>
    </row>
    <row r="141" spans="1:12">
      <c r="A141" s="2037"/>
      <c r="B141" s="2038"/>
      <c r="C141" s="2038"/>
      <c r="D141" s="2038"/>
      <c r="E141" s="2038"/>
      <c r="F141" s="2038"/>
      <c r="G141" s="2038"/>
      <c r="H141" s="2038"/>
      <c r="I141" s="2038"/>
      <c r="J141" s="2038"/>
      <c r="K141" s="2038"/>
      <c r="L141" s="2039"/>
    </row>
    <row r="142" spans="1:12">
      <c r="A142" s="2037"/>
      <c r="B142" s="2038"/>
      <c r="C142" s="2038"/>
      <c r="D142" s="2038"/>
      <c r="E142" s="2038"/>
      <c r="F142" s="2038"/>
      <c r="G142" s="2038"/>
      <c r="H142" s="2038"/>
      <c r="I142" s="2038"/>
      <c r="J142" s="2038"/>
      <c r="K142" s="2038"/>
      <c r="L142" s="2039"/>
    </row>
    <row r="143" spans="1:12">
      <c r="A143" s="2037"/>
      <c r="B143" s="2038"/>
      <c r="C143" s="2038"/>
      <c r="D143" s="2038"/>
      <c r="E143" s="2038"/>
      <c r="F143" s="2038"/>
      <c r="G143" s="2038"/>
      <c r="H143" s="2038"/>
      <c r="I143" s="2038"/>
      <c r="J143" s="2038"/>
      <c r="K143" s="2038"/>
      <c r="L143" s="2039"/>
    </row>
    <row r="144" spans="1:12">
      <c r="A144" s="2037"/>
      <c r="B144" s="2038"/>
      <c r="C144" s="2038"/>
      <c r="D144" s="2038"/>
      <c r="E144" s="2038"/>
      <c r="F144" s="2038"/>
      <c r="G144" s="2038"/>
      <c r="H144" s="2038"/>
      <c r="I144" s="2038"/>
      <c r="J144" s="2038"/>
      <c r="K144" s="2038"/>
      <c r="L144" s="2039"/>
    </row>
    <row r="145" spans="1:12">
      <c r="A145" s="2037"/>
      <c r="B145" s="2038"/>
      <c r="C145" s="2038"/>
      <c r="D145" s="2038"/>
      <c r="E145" s="2038"/>
      <c r="F145" s="2038"/>
      <c r="G145" s="2038"/>
      <c r="H145" s="2038"/>
      <c r="I145" s="2038"/>
      <c r="J145" s="2038"/>
      <c r="K145" s="2038"/>
      <c r="L145" s="2039"/>
    </row>
    <row r="146" spans="1:12">
      <c r="A146" s="2037"/>
      <c r="B146" s="2038"/>
      <c r="C146" s="2038"/>
      <c r="D146" s="2038"/>
      <c r="E146" s="2038"/>
      <c r="F146" s="2038"/>
      <c r="G146" s="2038"/>
      <c r="H146" s="2038"/>
      <c r="I146" s="2038"/>
      <c r="J146" s="2038"/>
      <c r="K146" s="2038"/>
      <c r="L146" s="2039"/>
    </row>
    <row r="147" spans="1:12">
      <c r="A147" s="2037"/>
      <c r="B147" s="2038"/>
      <c r="C147" s="2038"/>
      <c r="D147" s="2038"/>
      <c r="E147" s="2038"/>
      <c r="F147" s="2038"/>
      <c r="G147" s="2038"/>
      <c r="H147" s="2038"/>
      <c r="I147" s="2038"/>
      <c r="J147" s="2038"/>
      <c r="K147" s="2038"/>
      <c r="L147" s="2039"/>
    </row>
    <row r="148" spans="1:12">
      <c r="A148" s="2037"/>
      <c r="B148" s="2038"/>
      <c r="C148" s="2038"/>
      <c r="D148" s="2038"/>
      <c r="E148" s="2038"/>
      <c r="F148" s="2038"/>
      <c r="G148" s="2038"/>
      <c r="H148" s="2038"/>
      <c r="I148" s="2038"/>
      <c r="J148" s="2038"/>
      <c r="K148" s="2038"/>
      <c r="L148" s="2039"/>
    </row>
    <row r="149" spans="1:12">
      <c r="A149" s="2037"/>
      <c r="B149" s="2038"/>
      <c r="C149" s="2038"/>
      <c r="D149" s="2038"/>
      <c r="E149" s="2038"/>
      <c r="F149" s="2038"/>
      <c r="G149" s="2038"/>
      <c r="H149" s="2038"/>
      <c r="I149" s="2038"/>
      <c r="J149" s="2038"/>
      <c r="K149" s="2038"/>
      <c r="L149" s="2039"/>
    </row>
    <row r="150" spans="1:12">
      <c r="A150" s="2037"/>
      <c r="B150" s="2038"/>
      <c r="C150" s="2038"/>
      <c r="D150" s="2038"/>
      <c r="E150" s="2038"/>
      <c r="F150" s="2038"/>
      <c r="G150" s="2038"/>
      <c r="H150" s="2038"/>
      <c r="I150" s="2038"/>
      <c r="J150" s="2038"/>
      <c r="K150" s="2038"/>
      <c r="L150" s="2039"/>
    </row>
    <row r="151" spans="1:12">
      <c r="A151" s="2037"/>
      <c r="B151" s="2038"/>
      <c r="C151" s="2038"/>
      <c r="D151" s="2038"/>
      <c r="E151" s="2038"/>
      <c r="F151" s="2038"/>
      <c r="G151" s="2038"/>
      <c r="H151" s="2038"/>
      <c r="I151" s="2038"/>
      <c r="J151" s="2038"/>
      <c r="K151" s="2038"/>
      <c r="L151" s="2039"/>
    </row>
    <row r="152" spans="1:12">
      <c r="A152" s="2037"/>
      <c r="B152" s="2038"/>
      <c r="C152" s="2038"/>
      <c r="D152" s="2038"/>
      <c r="E152" s="2038"/>
      <c r="F152" s="2038"/>
      <c r="G152" s="2038"/>
      <c r="H152" s="2038"/>
      <c r="I152" s="2038"/>
      <c r="J152" s="2038"/>
      <c r="K152" s="2038"/>
      <c r="L152" s="2039"/>
    </row>
    <row r="153" spans="1:12">
      <c r="A153" s="2037"/>
      <c r="B153" s="2038"/>
      <c r="C153" s="2038"/>
      <c r="D153" s="2038"/>
      <c r="E153" s="2038"/>
      <c r="F153" s="2038"/>
      <c r="G153" s="2038"/>
      <c r="H153" s="2038"/>
      <c r="I153" s="2038"/>
      <c r="J153" s="2038"/>
      <c r="K153" s="2038"/>
      <c r="L153" s="2039"/>
    </row>
    <row r="154" spans="1:12" ht="13.5" thickBot="1">
      <c r="A154" s="2040"/>
      <c r="B154" s="2041"/>
      <c r="C154" s="2041"/>
      <c r="D154" s="2041"/>
      <c r="E154" s="2041"/>
      <c r="F154" s="2041"/>
      <c r="G154" s="2041"/>
      <c r="H154" s="2041"/>
      <c r="I154" s="2041"/>
      <c r="J154" s="2041"/>
      <c r="K154" s="2041"/>
      <c r="L154" s="2042"/>
    </row>
  </sheetData>
  <sheetProtection password="C9E9" sheet="1" formatRows="0"/>
  <mergeCells count="76">
    <mergeCell ref="A135:L154"/>
    <mergeCell ref="K122:L122"/>
    <mergeCell ref="K120:L120"/>
    <mergeCell ref="K121:L121"/>
    <mergeCell ref="K115:L115"/>
    <mergeCell ref="K116:L116"/>
    <mergeCell ref="K118:L118"/>
    <mergeCell ref="K119:L119"/>
    <mergeCell ref="I120:J120"/>
    <mergeCell ref="I121:J121"/>
    <mergeCell ref="E115:F115"/>
    <mergeCell ref="I122:J122"/>
    <mergeCell ref="G118:H118"/>
    <mergeCell ref="G119:H119"/>
    <mergeCell ref="I115:J115"/>
    <mergeCell ref="I116:J116"/>
    <mergeCell ref="A122:D122"/>
    <mergeCell ref="G120:H120"/>
    <mergeCell ref="G121:H121"/>
    <mergeCell ref="G122:H122"/>
    <mergeCell ref="E122:F122"/>
    <mergeCell ref="E120:F120"/>
    <mergeCell ref="E121:F121"/>
    <mergeCell ref="A120:D120"/>
    <mergeCell ref="A121:D121"/>
    <mergeCell ref="A114:L114"/>
    <mergeCell ref="I57:L57"/>
    <mergeCell ref="A119:D119"/>
    <mergeCell ref="G115:H115"/>
    <mergeCell ref="G116:H116"/>
    <mergeCell ref="A115:D115"/>
    <mergeCell ref="A116:D116"/>
    <mergeCell ref="A117:D117"/>
    <mergeCell ref="A118:D118"/>
    <mergeCell ref="E118:F118"/>
    <mergeCell ref="E119:F119"/>
    <mergeCell ref="A60:A63"/>
    <mergeCell ref="I118:J118"/>
    <mergeCell ref="I119:J119"/>
    <mergeCell ref="E116:F116"/>
    <mergeCell ref="A14:A17"/>
    <mergeCell ref="G60:G63"/>
    <mergeCell ref="L60:L63"/>
    <mergeCell ref="F60:F63"/>
    <mergeCell ref="J60:J63"/>
    <mergeCell ref="K60:K63"/>
    <mergeCell ref="D14:D17"/>
    <mergeCell ref="B60:B63"/>
    <mergeCell ref="C60:C63"/>
    <mergeCell ref="D60:D63"/>
    <mergeCell ref="J14:J17"/>
    <mergeCell ref="E14:E17"/>
    <mergeCell ref="I60:I63"/>
    <mergeCell ref="E60:E63"/>
    <mergeCell ref="D11:G11"/>
    <mergeCell ref="F13:G13"/>
    <mergeCell ref="K13:L13"/>
    <mergeCell ref="K14:K17"/>
    <mergeCell ref="B14:B17"/>
    <mergeCell ref="C14:C17"/>
    <mergeCell ref="A133:L133"/>
    <mergeCell ref="A1:L1"/>
    <mergeCell ref="A2:L2"/>
    <mergeCell ref="F59:G59"/>
    <mergeCell ref="K59:L59"/>
    <mergeCell ref="A5:L5"/>
    <mergeCell ref="A7:L7"/>
    <mergeCell ref="A9:D9"/>
    <mergeCell ref="D57:G57"/>
    <mergeCell ref="A3:L3"/>
    <mergeCell ref="I11:L11"/>
    <mergeCell ref="L14:L17"/>
    <mergeCell ref="F14:F17"/>
    <mergeCell ref="G14:G17"/>
    <mergeCell ref="H14:H17"/>
    <mergeCell ref="I14:I17"/>
  </mergeCells>
  <phoneticPr fontId="17" type="noConversion"/>
  <conditionalFormatting sqref="E119:E120 I119:I120 G119:G120 K119:K120">
    <cfRule type="expression" dxfId="66" priority="1" stopIfTrue="1">
      <formula>#REF!=FALSE</formula>
    </cfRule>
  </conditionalFormatting>
  <conditionalFormatting sqref="K131:L131">
    <cfRule type="expression" dxfId="65" priority="2" stopIfTrue="1">
      <formula>#REF!=TRUE</formula>
    </cfRule>
  </conditionalFormatting>
  <dataValidations count="3">
    <dataValidation type="whole" operator="lessThanOrEqual" allowBlank="1" showInputMessage="1" showErrorMessage="1" errorTitle="Error" error="Cannot exceed number of units." sqref="K18:K24 K26:K32 K34:K40 K42:K48 K50:K56 K64:K70 K72:K78 K80:K86 K88:K94 K96:K102 K104:K110">
      <formula1>N18-F18</formula1>
    </dataValidation>
    <dataValidation type="whole" operator="lessThanOrEqual" allowBlank="1" showInputMessage="1" showErrorMessage="1" errorTitle="Error" error="Cannot exceed number of units." sqref="F18:F24 F26:F32 F34:F40 F42:F48 F50:F56 F64:F70 F72:F78 F80:F86 F88:F94 F96:F102 F104:F110">
      <formula1>N18-K18</formula1>
    </dataValidation>
    <dataValidation type="whole" operator="lessThanOrEqual" allowBlank="1" showInputMessage="1" showErrorMessage="1" errorTitle="Error" error="Cannot exceed number of units." sqref="F49 F25 F33 F41 F71 F79 F87 F95 F103">
      <formula1>#REF!</formula1>
    </dataValidation>
  </dataValidations>
  <printOptions horizontalCentered="1"/>
  <pageMargins left="0.5" right="0" top="0.5" bottom="0.3" header="0" footer="0"/>
  <pageSetup scale="79" firstPageNumber="13" fitToHeight="3" orientation="portrait" horizontalDpi="525" verticalDpi="525" r:id="rId1"/>
  <headerFooter scaleWithDoc="0" alignWithMargins="0">
    <oddFooter>&amp;C&amp;9Page &amp;P of &amp;N&amp;R&amp;"Arial,Italic"&amp;9Universal Application - &amp;A</oddFooter>
  </headerFooter>
  <rowBreaks count="1" manualBreakCount="1">
    <brk id="56"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100372" r:id="rId4" name="Check Box 20">
              <controlPr locked="0" defaultSize="0" autoFill="0" autoLine="0" autoPict="0">
                <anchor moveWithCells="1">
                  <from>
                    <xdr:col>10</xdr:col>
                    <xdr:colOff>76200</xdr:colOff>
                    <xdr:row>129</xdr:row>
                    <xdr:rowOff>142875</xdr:rowOff>
                  </from>
                  <to>
                    <xdr:col>10</xdr:col>
                    <xdr:colOff>476250</xdr:colOff>
                    <xdr:row>131</xdr:row>
                    <xdr:rowOff>28575</xdr:rowOff>
                  </to>
                </anchor>
              </controlPr>
            </control>
          </mc:Choice>
        </mc:AlternateContent>
        <mc:AlternateContent xmlns:mc="http://schemas.openxmlformats.org/markup-compatibility/2006">
          <mc:Choice Requires="x14">
            <control shapeId="100373" r:id="rId5" name="Check Box 21">
              <controlPr locked="0" defaultSize="0" autoFill="0" autoLine="0" autoPict="0">
                <anchor moveWithCells="1">
                  <from>
                    <xdr:col>10</xdr:col>
                    <xdr:colOff>581025</xdr:colOff>
                    <xdr:row>129</xdr:row>
                    <xdr:rowOff>142875</xdr:rowOff>
                  </from>
                  <to>
                    <xdr:col>11</xdr:col>
                    <xdr:colOff>485775</xdr:colOff>
                    <xdr:row>131</xdr:row>
                    <xdr:rowOff>38100</xdr:rowOff>
                  </to>
                </anchor>
              </controlPr>
            </control>
          </mc:Choice>
        </mc:AlternateContent>
        <mc:AlternateContent xmlns:mc="http://schemas.openxmlformats.org/markup-compatibility/2006">
          <mc:Choice Requires="x14">
            <control shapeId="100374" r:id="rId6" name="Check Box 22">
              <controlPr locked="0" defaultSize="0" autoFill="0" autoLine="0" autoPict="0">
                <anchor moveWithCells="1">
                  <from>
                    <xdr:col>4</xdr:col>
                    <xdr:colOff>0</xdr:colOff>
                    <xdr:row>115</xdr:row>
                    <xdr:rowOff>142875</xdr:rowOff>
                  </from>
                  <to>
                    <xdr:col>4</xdr:col>
                    <xdr:colOff>447675</xdr:colOff>
                    <xdr:row>117</xdr:row>
                    <xdr:rowOff>28575</xdr:rowOff>
                  </to>
                </anchor>
              </controlPr>
            </control>
          </mc:Choice>
        </mc:AlternateContent>
        <mc:AlternateContent xmlns:mc="http://schemas.openxmlformats.org/markup-compatibility/2006">
          <mc:Choice Requires="x14">
            <control shapeId="100375" r:id="rId7" name="Check Box 23">
              <controlPr locked="0" defaultSize="0" autoFill="0" autoLine="0" autoPict="0">
                <anchor moveWithCells="1">
                  <from>
                    <xdr:col>4</xdr:col>
                    <xdr:colOff>619125</xdr:colOff>
                    <xdr:row>115</xdr:row>
                    <xdr:rowOff>133350</xdr:rowOff>
                  </from>
                  <to>
                    <xdr:col>5</xdr:col>
                    <xdr:colOff>476250</xdr:colOff>
                    <xdr:row>117</xdr:row>
                    <xdr:rowOff>28575</xdr:rowOff>
                  </to>
                </anchor>
              </controlPr>
            </control>
          </mc:Choice>
        </mc:AlternateContent>
        <mc:AlternateContent xmlns:mc="http://schemas.openxmlformats.org/markup-compatibility/2006">
          <mc:Choice Requires="x14">
            <control shapeId="100376" r:id="rId8" name="Check Box 24">
              <controlPr locked="0" defaultSize="0" autoFill="0" autoLine="0" autoPict="0">
                <anchor moveWithCells="1">
                  <from>
                    <xdr:col>10</xdr:col>
                    <xdr:colOff>76200</xdr:colOff>
                    <xdr:row>127</xdr:row>
                    <xdr:rowOff>142875</xdr:rowOff>
                  </from>
                  <to>
                    <xdr:col>10</xdr:col>
                    <xdr:colOff>476250</xdr:colOff>
                    <xdr:row>129</xdr:row>
                    <xdr:rowOff>28575</xdr:rowOff>
                  </to>
                </anchor>
              </controlPr>
            </control>
          </mc:Choice>
        </mc:AlternateContent>
        <mc:AlternateContent xmlns:mc="http://schemas.openxmlformats.org/markup-compatibility/2006">
          <mc:Choice Requires="x14">
            <control shapeId="100377" r:id="rId9" name="Check Box 25">
              <controlPr locked="0" defaultSize="0" autoFill="0" autoLine="0" autoPict="0">
                <anchor moveWithCells="1">
                  <from>
                    <xdr:col>10</xdr:col>
                    <xdr:colOff>581025</xdr:colOff>
                    <xdr:row>127</xdr:row>
                    <xdr:rowOff>133350</xdr:rowOff>
                  </from>
                  <to>
                    <xdr:col>11</xdr:col>
                    <xdr:colOff>485775</xdr:colOff>
                    <xdr:row>129</xdr:row>
                    <xdr:rowOff>28575</xdr:rowOff>
                  </to>
                </anchor>
              </controlPr>
            </control>
          </mc:Choice>
        </mc:AlternateContent>
        <mc:AlternateContent xmlns:mc="http://schemas.openxmlformats.org/markup-compatibility/2006">
          <mc:Choice Requires="x14">
            <control shapeId="100388" r:id="rId10" name="Option Button 36">
              <controlPr locked="0" defaultSize="0" autoFill="0" autoLine="0" autoPict="0">
                <anchor moveWithCells="1">
                  <from>
                    <xdr:col>4</xdr:col>
                    <xdr:colOff>228600</xdr:colOff>
                    <xdr:row>8</xdr:row>
                    <xdr:rowOff>0</xdr:rowOff>
                  </from>
                  <to>
                    <xdr:col>4</xdr:col>
                    <xdr:colOff>533400</xdr:colOff>
                    <xdr:row>9</xdr:row>
                    <xdr:rowOff>19050</xdr:rowOff>
                  </to>
                </anchor>
              </controlPr>
            </control>
          </mc:Choice>
        </mc:AlternateContent>
        <mc:AlternateContent xmlns:mc="http://schemas.openxmlformats.org/markup-compatibility/2006">
          <mc:Choice Requires="x14">
            <control shapeId="100389" r:id="rId11" name="Option Button 37">
              <controlPr locked="0" defaultSize="0" autoFill="0" autoLine="0" autoPict="0">
                <anchor moveWithCells="1">
                  <from>
                    <xdr:col>7</xdr:col>
                    <xdr:colOff>152400</xdr:colOff>
                    <xdr:row>7</xdr:row>
                    <xdr:rowOff>152400</xdr:rowOff>
                  </from>
                  <to>
                    <xdr:col>7</xdr:col>
                    <xdr:colOff>457200</xdr:colOff>
                    <xdr:row>9</xdr:row>
                    <xdr:rowOff>9525</xdr:rowOff>
                  </to>
                </anchor>
              </controlPr>
            </control>
          </mc:Choice>
        </mc:AlternateContent>
        <mc:AlternateContent xmlns:mc="http://schemas.openxmlformats.org/markup-compatibility/2006">
          <mc:Choice Requires="x14">
            <control shapeId="100396" r:id="rId12" name="Check Box 44">
              <controlPr locked="0" defaultSize="0" autoFill="0" autoLine="0" autoPict="0">
                <anchor moveWithCells="1">
                  <from>
                    <xdr:col>6</xdr:col>
                    <xdr:colOff>0</xdr:colOff>
                    <xdr:row>115</xdr:row>
                    <xdr:rowOff>142875</xdr:rowOff>
                  </from>
                  <to>
                    <xdr:col>6</xdr:col>
                    <xdr:colOff>447675</xdr:colOff>
                    <xdr:row>117</xdr:row>
                    <xdr:rowOff>28575</xdr:rowOff>
                  </to>
                </anchor>
              </controlPr>
            </control>
          </mc:Choice>
        </mc:AlternateContent>
        <mc:AlternateContent xmlns:mc="http://schemas.openxmlformats.org/markup-compatibility/2006">
          <mc:Choice Requires="x14">
            <control shapeId="100397" r:id="rId13" name="Check Box 45">
              <controlPr locked="0" defaultSize="0" autoFill="0" autoLine="0" autoPict="0">
                <anchor moveWithCells="1">
                  <from>
                    <xdr:col>7</xdr:col>
                    <xdr:colOff>0</xdr:colOff>
                    <xdr:row>115</xdr:row>
                    <xdr:rowOff>133350</xdr:rowOff>
                  </from>
                  <to>
                    <xdr:col>8</xdr:col>
                    <xdr:colOff>57150</xdr:colOff>
                    <xdr:row>117</xdr:row>
                    <xdr:rowOff>28575</xdr:rowOff>
                  </to>
                </anchor>
              </controlPr>
            </control>
          </mc:Choice>
        </mc:AlternateContent>
        <mc:AlternateContent xmlns:mc="http://schemas.openxmlformats.org/markup-compatibility/2006">
          <mc:Choice Requires="x14">
            <control shapeId="100401" r:id="rId14" name="Check Box 49">
              <controlPr locked="0" defaultSize="0" autoFill="0" autoLine="0" autoPict="0">
                <anchor moveWithCells="1">
                  <from>
                    <xdr:col>8</xdr:col>
                    <xdr:colOff>0</xdr:colOff>
                    <xdr:row>115</xdr:row>
                    <xdr:rowOff>142875</xdr:rowOff>
                  </from>
                  <to>
                    <xdr:col>8</xdr:col>
                    <xdr:colOff>447675</xdr:colOff>
                    <xdr:row>117</xdr:row>
                    <xdr:rowOff>28575</xdr:rowOff>
                  </to>
                </anchor>
              </controlPr>
            </control>
          </mc:Choice>
        </mc:AlternateContent>
        <mc:AlternateContent xmlns:mc="http://schemas.openxmlformats.org/markup-compatibility/2006">
          <mc:Choice Requires="x14">
            <control shapeId="100402" r:id="rId15" name="Check Box 50">
              <controlPr locked="0" defaultSize="0" autoFill="0" autoLine="0" autoPict="0">
                <anchor moveWithCells="1">
                  <from>
                    <xdr:col>8</xdr:col>
                    <xdr:colOff>619125</xdr:colOff>
                    <xdr:row>115</xdr:row>
                    <xdr:rowOff>133350</xdr:rowOff>
                  </from>
                  <to>
                    <xdr:col>9</xdr:col>
                    <xdr:colOff>533400</xdr:colOff>
                    <xdr:row>117</xdr:row>
                    <xdr:rowOff>28575</xdr:rowOff>
                  </to>
                </anchor>
              </controlPr>
            </control>
          </mc:Choice>
        </mc:AlternateContent>
        <mc:AlternateContent xmlns:mc="http://schemas.openxmlformats.org/markup-compatibility/2006">
          <mc:Choice Requires="x14">
            <control shapeId="100406" r:id="rId16" name="Check Box 54">
              <controlPr locked="0" defaultSize="0" autoFill="0" autoLine="0" autoPict="0">
                <anchor moveWithCells="1">
                  <from>
                    <xdr:col>10</xdr:col>
                    <xdr:colOff>0</xdr:colOff>
                    <xdr:row>115</xdr:row>
                    <xdr:rowOff>142875</xdr:rowOff>
                  </from>
                  <to>
                    <xdr:col>10</xdr:col>
                    <xdr:colOff>447675</xdr:colOff>
                    <xdr:row>117</xdr:row>
                    <xdr:rowOff>28575</xdr:rowOff>
                  </to>
                </anchor>
              </controlPr>
            </control>
          </mc:Choice>
        </mc:AlternateContent>
        <mc:AlternateContent xmlns:mc="http://schemas.openxmlformats.org/markup-compatibility/2006">
          <mc:Choice Requires="x14">
            <control shapeId="100407" r:id="rId17" name="Check Box 55">
              <controlPr locked="0" defaultSize="0" autoFill="0" autoLine="0" autoPict="0">
                <anchor moveWithCells="1">
                  <from>
                    <xdr:col>10</xdr:col>
                    <xdr:colOff>619125</xdr:colOff>
                    <xdr:row>115</xdr:row>
                    <xdr:rowOff>133350</xdr:rowOff>
                  </from>
                  <to>
                    <xdr:col>11</xdr:col>
                    <xdr:colOff>428625</xdr:colOff>
                    <xdr:row>117</xdr:row>
                    <xdr:rowOff>28575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S293"/>
  <sheetViews>
    <sheetView showGridLines="0" zoomScaleNormal="100" zoomScaleSheetLayoutView="75" workbookViewId="0">
      <selection activeCell="A2" sqref="A2:O2"/>
    </sheetView>
  </sheetViews>
  <sheetFormatPr defaultRowHeight="12.75"/>
  <cols>
    <col min="1" max="1" width="11.85546875" customWidth="1"/>
    <col min="2" max="2" width="14.140625" customWidth="1"/>
    <col min="3" max="3" width="14" customWidth="1"/>
    <col min="4" max="4" width="4.85546875" customWidth="1"/>
    <col min="5" max="5" width="11.28515625" customWidth="1"/>
    <col min="6" max="6" width="8.85546875" customWidth="1"/>
    <col min="7" max="7" width="15.85546875" customWidth="1"/>
    <col min="8" max="8" width="11.42578125" customWidth="1"/>
    <col min="9" max="9" width="13.85546875" customWidth="1"/>
    <col min="10" max="10" width="11" customWidth="1"/>
    <col min="11" max="11" width="12.5703125" customWidth="1"/>
    <col min="12" max="12" width="12.7109375" customWidth="1"/>
    <col min="13" max="13" width="11.42578125" customWidth="1"/>
    <col min="14" max="15" width="12.7109375" customWidth="1"/>
    <col min="16" max="16" width="11.42578125" customWidth="1"/>
    <col min="17" max="17" width="13.140625" customWidth="1"/>
    <col min="18" max="18" width="11.85546875" customWidth="1"/>
    <col min="19" max="92" width="9.140625" customWidth="1"/>
  </cols>
  <sheetData>
    <row r="1" spans="1:19" ht="21" customHeight="1">
      <c r="A1" s="2060">
        <f>'General '!A45</f>
        <v>0</v>
      </c>
      <c r="B1" s="2061"/>
      <c r="C1" s="2061"/>
      <c r="D1" s="2061"/>
      <c r="E1" s="2061"/>
      <c r="F1" s="2061"/>
      <c r="G1" s="2061"/>
      <c r="H1" s="2061"/>
      <c r="I1" s="2061"/>
      <c r="J1" s="2061"/>
      <c r="K1" s="2061"/>
      <c r="L1" s="2061"/>
      <c r="M1" s="2061"/>
      <c r="N1" s="2061"/>
      <c r="O1" s="2062"/>
    </row>
    <row r="2" spans="1:19" ht="23.25" customHeight="1" thickBot="1">
      <c r="A2" s="2063" t="s">
        <v>629</v>
      </c>
      <c r="B2" s="2064"/>
      <c r="C2" s="2064"/>
      <c r="D2" s="2064"/>
      <c r="E2" s="2064"/>
      <c r="F2" s="2064"/>
      <c r="G2" s="2064"/>
      <c r="H2" s="2064"/>
      <c r="I2" s="2064"/>
      <c r="J2" s="2064"/>
      <c r="K2" s="2064"/>
      <c r="L2" s="2064"/>
      <c r="M2" s="2064"/>
      <c r="N2" s="2064"/>
      <c r="O2" s="2065"/>
    </row>
    <row r="3" spans="1:19" ht="15.75" customHeight="1">
      <c r="A3" s="2080" t="s">
        <v>1686</v>
      </c>
      <c r="B3" s="2081"/>
      <c r="C3" s="2081"/>
      <c r="D3" s="2081"/>
      <c r="E3" s="2081"/>
      <c r="F3" s="2081"/>
      <c r="G3" s="2081"/>
      <c r="H3" s="2081"/>
      <c r="I3" s="2081"/>
      <c r="J3" s="2081"/>
      <c r="K3" s="2081"/>
      <c r="L3" s="2081"/>
      <c r="M3" s="2081"/>
      <c r="N3" s="2081"/>
      <c r="O3" s="2082"/>
    </row>
    <row r="4" spans="1:19" ht="21.75" customHeight="1">
      <c r="A4" s="2043" t="s">
        <v>803</v>
      </c>
      <c r="B4" s="2074" t="s">
        <v>1472</v>
      </c>
      <c r="C4" s="2075"/>
      <c r="D4" s="2071" t="s">
        <v>721</v>
      </c>
      <c r="E4" s="2045" t="s">
        <v>789</v>
      </c>
      <c r="F4" s="2090" t="s">
        <v>790</v>
      </c>
      <c r="G4" s="2090"/>
      <c r="H4" s="2071" t="s">
        <v>1473</v>
      </c>
      <c r="I4" s="2090" t="s">
        <v>791</v>
      </c>
      <c r="J4" s="2090"/>
      <c r="K4" s="2071" t="s">
        <v>716</v>
      </c>
      <c r="L4" s="2071" t="s">
        <v>720</v>
      </c>
      <c r="M4" s="2071" t="s">
        <v>719</v>
      </c>
      <c r="N4" s="2071" t="s">
        <v>718</v>
      </c>
      <c r="O4" s="2069" t="s">
        <v>717</v>
      </c>
    </row>
    <row r="5" spans="1:19" ht="20.25" customHeight="1">
      <c r="A5" s="2044"/>
      <c r="B5" s="2076"/>
      <c r="C5" s="2077"/>
      <c r="D5" s="2072"/>
      <c r="E5" s="2046"/>
      <c r="F5" s="630" t="s">
        <v>429</v>
      </c>
      <c r="G5" s="630" t="s">
        <v>792</v>
      </c>
      <c r="H5" s="2046"/>
      <c r="I5" s="630" t="s">
        <v>793</v>
      </c>
      <c r="J5" s="630" t="s">
        <v>722</v>
      </c>
      <c r="K5" s="2046"/>
      <c r="L5" s="2046"/>
      <c r="M5" s="2072"/>
      <c r="N5" s="2046"/>
      <c r="O5" s="2070"/>
    </row>
    <row r="6" spans="1:19">
      <c r="A6" s="1243"/>
      <c r="B6" s="2050"/>
      <c r="C6" s="2048"/>
      <c r="D6" s="1244"/>
      <c r="E6" s="1245"/>
      <c r="F6" s="1246"/>
      <c r="G6" s="1247"/>
      <c r="H6" s="1244"/>
      <c r="I6" s="1244"/>
      <c r="J6" s="1244"/>
      <c r="K6" s="1245"/>
      <c r="L6" s="1245"/>
      <c r="M6" s="1248"/>
      <c r="N6" s="1249"/>
      <c r="O6" s="1250"/>
      <c r="Q6" s="13"/>
      <c r="S6" s="1016">
        <f>COUNTIFS($E$6:E6,"&gt;"&amp;0)*(E6&gt;0)</f>
        <v>0</v>
      </c>
    </row>
    <row r="7" spans="1:19">
      <c r="A7" s="1243"/>
      <c r="B7" s="2050"/>
      <c r="C7" s="2048"/>
      <c r="D7" s="1251"/>
      <c r="E7" s="1252"/>
      <c r="F7" s="1253"/>
      <c r="G7" s="1247"/>
      <c r="H7" s="1251"/>
      <c r="I7" s="1244"/>
      <c r="J7" s="1251"/>
      <c r="K7" s="1252"/>
      <c r="L7" s="1252"/>
      <c r="M7" s="1254"/>
      <c r="N7" s="1249"/>
      <c r="O7" s="1250"/>
      <c r="S7" s="1016">
        <f>COUNTIFS($E$6:E7,"&gt;"&amp;0)*(E7&gt;0)</f>
        <v>0</v>
      </c>
    </row>
    <row r="8" spans="1:19">
      <c r="A8" s="1243"/>
      <c r="B8" s="2050"/>
      <c r="C8" s="2048"/>
      <c r="D8" s="1251"/>
      <c r="E8" s="1252"/>
      <c r="F8" s="1253"/>
      <c r="G8" s="1247"/>
      <c r="H8" s="1251"/>
      <c r="I8" s="1244"/>
      <c r="J8" s="1251"/>
      <c r="K8" s="1252"/>
      <c r="L8" s="1252"/>
      <c r="M8" s="1254"/>
      <c r="N8" s="1249"/>
      <c r="O8" s="1250"/>
      <c r="S8" s="1016">
        <f>COUNTIFS($E$6:E8,"&gt;"&amp;0)*(E8&gt;0)</f>
        <v>0</v>
      </c>
    </row>
    <row r="9" spans="1:19">
      <c r="A9" s="1243"/>
      <c r="B9" s="2086"/>
      <c r="C9" s="2048"/>
      <c r="D9" s="1251"/>
      <c r="E9" s="1252"/>
      <c r="F9" s="1253"/>
      <c r="G9" s="1247"/>
      <c r="H9" s="1251"/>
      <c r="I9" s="1244"/>
      <c r="J9" s="1251"/>
      <c r="K9" s="1252"/>
      <c r="L9" s="1252"/>
      <c r="M9" s="1254"/>
      <c r="N9" s="1249"/>
      <c r="O9" s="1250"/>
      <c r="S9" s="1016">
        <f>COUNTIFS($E$6:E9,"&gt;"&amp;0)*(E9&gt;0)</f>
        <v>0</v>
      </c>
    </row>
    <row r="10" spans="1:19">
      <c r="A10" s="1243"/>
      <c r="B10" s="2050"/>
      <c r="C10" s="2048"/>
      <c r="D10" s="1251"/>
      <c r="E10" s="1252"/>
      <c r="F10" s="1253"/>
      <c r="G10" s="1247"/>
      <c r="H10" s="1251"/>
      <c r="I10" s="1244"/>
      <c r="J10" s="1251"/>
      <c r="K10" s="1252"/>
      <c r="L10" s="1252"/>
      <c r="M10" s="1254"/>
      <c r="N10" s="1249"/>
      <c r="O10" s="1250"/>
      <c r="S10" s="1016">
        <f>COUNTIFS($E$6:E10,"&gt;"&amp;0)*(E10&gt;0)</f>
        <v>0</v>
      </c>
    </row>
    <row r="11" spans="1:19">
      <c r="A11" s="1243"/>
      <c r="B11" s="2050"/>
      <c r="C11" s="2048"/>
      <c r="D11" s="1251"/>
      <c r="E11" s="1252"/>
      <c r="F11" s="1253"/>
      <c r="G11" s="1247"/>
      <c r="H11" s="1251"/>
      <c r="I11" s="1244"/>
      <c r="J11" s="1251"/>
      <c r="K11" s="1252"/>
      <c r="L11" s="1252"/>
      <c r="M11" s="1254"/>
      <c r="N11" s="1249"/>
      <c r="O11" s="1250"/>
      <c r="S11" s="1016">
        <f>COUNTIFS($E$6:E11,"&gt;"&amp;0)*(E11&gt;0)</f>
        <v>0</v>
      </c>
    </row>
    <row r="12" spans="1:19">
      <c r="A12" s="1243"/>
      <c r="B12" s="2050"/>
      <c r="C12" s="2048"/>
      <c r="D12" s="1251"/>
      <c r="E12" s="1252"/>
      <c r="F12" s="1253"/>
      <c r="G12" s="1247"/>
      <c r="H12" s="1251"/>
      <c r="I12" s="1244"/>
      <c r="J12" s="1251"/>
      <c r="K12" s="1252"/>
      <c r="L12" s="1252"/>
      <c r="M12" s="1254"/>
      <c r="N12" s="1249"/>
      <c r="O12" s="1250"/>
      <c r="S12" s="1016">
        <f>COUNTIFS($E$6:E12,"&gt;"&amp;0)*(E12&gt;0)</f>
        <v>0</v>
      </c>
    </row>
    <row r="13" spans="1:19">
      <c r="A13" s="1243"/>
      <c r="B13" s="2049"/>
      <c r="C13" s="2048"/>
      <c r="D13" s="1251"/>
      <c r="E13" s="1252"/>
      <c r="F13" s="1253"/>
      <c r="G13" s="1247"/>
      <c r="H13" s="1251"/>
      <c r="I13" s="1244"/>
      <c r="J13" s="1251"/>
      <c r="K13" s="1252"/>
      <c r="L13" s="1252"/>
      <c r="M13" s="1254"/>
      <c r="N13" s="1249"/>
      <c r="O13" s="1250"/>
      <c r="S13" s="1016">
        <f>COUNTIFS($E$6:E13,"&gt;"&amp;0)*(E13&gt;0)</f>
        <v>0</v>
      </c>
    </row>
    <row r="14" spans="1:19">
      <c r="A14" s="1243"/>
      <c r="B14" s="2049"/>
      <c r="C14" s="2048"/>
      <c r="D14" s="1251"/>
      <c r="E14" s="1252"/>
      <c r="F14" s="1253"/>
      <c r="G14" s="1247"/>
      <c r="H14" s="1251"/>
      <c r="I14" s="1244"/>
      <c r="J14" s="1251"/>
      <c r="K14" s="1252"/>
      <c r="L14" s="1252"/>
      <c r="M14" s="1254"/>
      <c r="N14" s="1249"/>
      <c r="O14" s="1250"/>
      <c r="S14" s="1016">
        <f>COUNTIFS($E$6:E14,"&gt;"&amp;0)*(E14&gt;0)</f>
        <v>0</v>
      </c>
    </row>
    <row r="15" spans="1:19">
      <c r="A15" s="1243"/>
      <c r="B15" s="2049"/>
      <c r="C15" s="2048"/>
      <c r="D15" s="1251"/>
      <c r="E15" s="1252"/>
      <c r="F15" s="1253"/>
      <c r="G15" s="1247"/>
      <c r="H15" s="1251"/>
      <c r="I15" s="1244"/>
      <c r="J15" s="1251"/>
      <c r="K15" s="1252"/>
      <c r="L15" s="1252"/>
      <c r="M15" s="1254"/>
      <c r="N15" s="1249"/>
      <c r="O15" s="1250"/>
      <c r="S15" s="1016">
        <f>COUNTIFS($E$6:E15,"&gt;"&amp;0)*(E15&gt;0)</f>
        <v>0</v>
      </c>
    </row>
    <row r="16" spans="1:19">
      <c r="A16" s="1243"/>
      <c r="B16" s="2047"/>
      <c r="C16" s="2048"/>
      <c r="D16" s="1251"/>
      <c r="E16" s="1252"/>
      <c r="F16" s="1253"/>
      <c r="G16" s="1247"/>
      <c r="H16" s="1251"/>
      <c r="I16" s="1244"/>
      <c r="J16" s="1251"/>
      <c r="K16" s="1252"/>
      <c r="L16" s="1252"/>
      <c r="M16" s="1254"/>
      <c r="N16" s="1249"/>
      <c r="O16" s="1250"/>
      <c r="S16" s="1016">
        <f>COUNTIFS($E$6:E16,"&gt;"&amp;0)*(E16&gt;0)</f>
        <v>0</v>
      </c>
    </row>
    <row r="17" spans="1:19">
      <c r="A17" s="1243"/>
      <c r="B17" s="2047"/>
      <c r="C17" s="2048"/>
      <c r="D17" s="1251"/>
      <c r="E17" s="1252"/>
      <c r="F17" s="1253"/>
      <c r="G17" s="1247"/>
      <c r="H17" s="1251"/>
      <c r="I17" s="1244"/>
      <c r="J17" s="1251"/>
      <c r="K17" s="1252"/>
      <c r="L17" s="1252"/>
      <c r="M17" s="1254"/>
      <c r="N17" s="1249"/>
      <c r="O17" s="1250"/>
      <c r="S17" s="1016">
        <f>COUNTIFS($E$6:E17,"&gt;"&amp;0)*(E17&gt;0)</f>
        <v>0</v>
      </c>
    </row>
    <row r="18" spans="1:19">
      <c r="A18" s="1243"/>
      <c r="B18" s="2047"/>
      <c r="C18" s="2048"/>
      <c r="D18" s="1251"/>
      <c r="E18" s="1252"/>
      <c r="F18" s="1253"/>
      <c r="G18" s="1247"/>
      <c r="H18" s="1251"/>
      <c r="I18" s="1244"/>
      <c r="J18" s="1251"/>
      <c r="K18" s="1252"/>
      <c r="L18" s="1252"/>
      <c r="M18" s="1254"/>
      <c r="N18" s="1249"/>
      <c r="O18" s="1250"/>
      <c r="S18" s="1016">
        <f>COUNTIFS($E$6:E18,"&gt;"&amp;0)*(E18&gt;0)</f>
        <v>0</v>
      </c>
    </row>
    <row r="19" spans="1:19">
      <c r="A19" s="1243"/>
      <c r="B19" s="2047"/>
      <c r="C19" s="2048"/>
      <c r="D19" s="1244"/>
      <c r="E19" s="1245"/>
      <c r="F19" s="1246"/>
      <c r="G19" s="1247"/>
      <c r="H19" s="1244"/>
      <c r="I19" s="1244"/>
      <c r="J19" s="1244"/>
      <c r="K19" s="1245"/>
      <c r="L19" s="1245"/>
      <c r="M19" s="1248"/>
      <c r="N19" s="1249"/>
      <c r="O19" s="1250"/>
      <c r="S19" s="1016">
        <f>COUNTIFS($E$6:E19,"&gt;"&amp;0)*(E19&gt;0)</f>
        <v>0</v>
      </c>
    </row>
    <row r="20" spans="1:19" ht="13.5" thickBot="1">
      <c r="A20" s="1242" t="s">
        <v>154</v>
      </c>
      <c r="B20" s="2091"/>
      <c r="C20" s="2092"/>
      <c r="D20" s="2093"/>
      <c r="E20" s="1255"/>
      <c r="F20" s="2078" t="s">
        <v>1474</v>
      </c>
      <c r="G20" s="2079"/>
      <c r="H20" s="1256"/>
      <c r="I20" s="368"/>
      <c r="J20" s="369"/>
      <c r="K20" s="370"/>
      <c r="L20" s="370"/>
      <c r="M20" s="371"/>
      <c r="N20" s="1275">
        <f>E20</f>
        <v>0</v>
      </c>
      <c r="O20" s="372"/>
    </row>
    <row r="21" spans="1:19" ht="13.5" thickBot="1">
      <c r="A21" s="365"/>
      <c r="B21" s="373"/>
      <c r="C21" s="374"/>
      <c r="D21" s="1257" t="s">
        <v>354</v>
      </c>
      <c r="E21" s="1258">
        <f>SUM(E6:E20)</f>
        <v>0</v>
      </c>
      <c r="F21" s="2087" t="s">
        <v>434</v>
      </c>
      <c r="G21" s="2088"/>
      <c r="H21" s="2088"/>
      <c r="I21" s="2088"/>
      <c r="J21" s="2089"/>
      <c r="K21" s="1259">
        <f>SUM(K6:K20)</f>
        <v>0</v>
      </c>
      <c r="L21" s="1259">
        <f>SUM(L6:L20)</f>
        <v>0</v>
      </c>
      <c r="M21" s="1259">
        <f>SUM(M6:M20)</f>
        <v>0</v>
      </c>
      <c r="N21" s="1259">
        <f>SUM(N6:N20)</f>
        <v>0</v>
      </c>
      <c r="O21" s="1260">
        <f>SUM(O6:O20)</f>
        <v>0</v>
      </c>
    </row>
    <row r="22" spans="1:19" ht="22.5" customHeight="1" thickBot="1">
      <c r="A22" s="1022"/>
      <c r="B22" s="2051" t="s">
        <v>434</v>
      </c>
      <c r="C22" s="2051"/>
      <c r="D22" s="2051"/>
      <c r="E22" s="2051"/>
      <c r="F22" s="2051"/>
      <c r="G22" s="2051"/>
      <c r="H22" s="2051"/>
      <c r="I22" s="2051"/>
      <c r="J22" s="2052"/>
      <c r="K22" s="2052"/>
      <c r="L22" s="2052"/>
      <c r="O22" s="1022"/>
    </row>
    <row r="23" spans="1:19" ht="15.75" customHeight="1">
      <c r="A23" s="2066" t="s">
        <v>1475</v>
      </c>
      <c r="B23" s="2067"/>
      <c r="C23" s="2067"/>
      <c r="D23" s="2067"/>
      <c r="E23" s="2067"/>
      <c r="F23" s="2067"/>
      <c r="G23" s="2067"/>
      <c r="H23" s="2067"/>
      <c r="I23" s="2067"/>
      <c r="J23" s="2067"/>
      <c r="K23" s="2067"/>
      <c r="L23" s="2067"/>
      <c r="M23" s="2067"/>
      <c r="N23" s="2067"/>
      <c r="O23" s="2068"/>
    </row>
    <row r="24" spans="1:19" ht="17.25" customHeight="1">
      <c r="A24" s="2043" t="s">
        <v>803</v>
      </c>
      <c r="B24" s="2074" t="s">
        <v>1472</v>
      </c>
      <c r="C24" s="2075"/>
      <c r="D24" s="2071" t="s">
        <v>721</v>
      </c>
      <c r="E24" s="2045" t="s">
        <v>789</v>
      </c>
      <c r="F24" s="2071" t="s">
        <v>323</v>
      </c>
      <c r="G24" s="2071" t="s">
        <v>322</v>
      </c>
      <c r="H24" s="2071" t="s">
        <v>321</v>
      </c>
      <c r="I24" s="2071" t="s">
        <v>719</v>
      </c>
      <c r="J24" s="2071" t="s">
        <v>718</v>
      </c>
      <c r="K24" s="2069" t="s">
        <v>320</v>
      </c>
      <c r="L24" s="364"/>
      <c r="N24" s="13"/>
      <c r="O24" s="243"/>
      <c r="P24" s="13"/>
      <c r="Q24" s="13"/>
    </row>
    <row r="25" spans="1:19" ht="12.75" customHeight="1">
      <c r="A25" s="2044"/>
      <c r="B25" s="2076"/>
      <c r="C25" s="2077"/>
      <c r="D25" s="2072"/>
      <c r="E25" s="2046"/>
      <c r="F25" s="2073"/>
      <c r="G25" s="2072"/>
      <c r="H25" s="2072"/>
      <c r="I25" s="2046"/>
      <c r="J25" s="2046"/>
      <c r="K25" s="2070"/>
      <c r="L25" s="364"/>
      <c r="N25" s="13"/>
      <c r="O25" s="243"/>
      <c r="P25" s="13"/>
      <c r="Q25" s="13"/>
    </row>
    <row r="26" spans="1:19">
      <c r="A26" s="1243"/>
      <c r="B26" s="2047"/>
      <c r="C26" s="2048"/>
      <c r="D26" s="1261"/>
      <c r="E26" s="1249"/>
      <c r="F26" s="1253"/>
      <c r="G26" s="1262"/>
      <c r="H26" s="1244"/>
      <c r="I26" s="1249"/>
      <c r="J26" s="1249"/>
      <c r="K26" s="1250"/>
      <c r="L26" s="92"/>
      <c r="N26" s="13"/>
      <c r="O26" s="243"/>
      <c r="P26" s="13"/>
    </row>
    <row r="27" spans="1:19">
      <c r="A27" s="1243"/>
      <c r="B27" s="2047"/>
      <c r="C27" s="2048"/>
      <c r="D27" s="1263"/>
      <c r="E27" s="1264"/>
      <c r="F27" s="1253"/>
      <c r="G27" s="1262"/>
      <c r="H27" s="1251"/>
      <c r="I27" s="1264"/>
      <c r="J27" s="1249"/>
      <c r="K27" s="1250"/>
      <c r="L27" s="92"/>
      <c r="N27" s="13"/>
      <c r="O27" s="243"/>
      <c r="P27" s="13"/>
    </row>
    <row r="28" spans="1:19">
      <c r="A28" s="1243"/>
      <c r="B28" s="2047"/>
      <c r="C28" s="2048"/>
      <c r="D28" s="1263"/>
      <c r="E28" s="1264"/>
      <c r="F28" s="1253"/>
      <c r="G28" s="1262"/>
      <c r="H28" s="1251"/>
      <c r="I28" s="1264"/>
      <c r="J28" s="1249"/>
      <c r="K28" s="1250"/>
      <c r="L28" s="92"/>
      <c r="N28" s="13"/>
      <c r="O28" s="243"/>
      <c r="P28" s="13"/>
    </row>
    <row r="29" spans="1:19">
      <c r="A29" s="1243"/>
      <c r="B29" s="2047"/>
      <c r="C29" s="2048"/>
      <c r="D29" s="1263"/>
      <c r="E29" s="1264"/>
      <c r="F29" s="1253"/>
      <c r="G29" s="1262"/>
      <c r="H29" s="1251"/>
      <c r="I29" s="1264"/>
      <c r="J29" s="1249"/>
      <c r="K29" s="1250"/>
      <c r="L29" s="92"/>
      <c r="O29" s="11"/>
      <c r="P29" s="13"/>
    </row>
    <row r="30" spans="1:19">
      <c r="A30" s="1243"/>
      <c r="B30" s="2047"/>
      <c r="C30" s="2048"/>
      <c r="D30" s="1263"/>
      <c r="E30" s="1264"/>
      <c r="F30" s="1253"/>
      <c r="G30" s="1262"/>
      <c r="H30" s="1251"/>
      <c r="I30" s="1264"/>
      <c r="J30" s="1249"/>
      <c r="K30" s="1250"/>
      <c r="L30" s="92"/>
      <c r="O30" s="11"/>
      <c r="P30" s="13"/>
    </row>
    <row r="31" spans="1:19">
      <c r="A31" s="1243"/>
      <c r="B31" s="2047"/>
      <c r="C31" s="2048"/>
      <c r="D31" s="1263"/>
      <c r="E31" s="1264"/>
      <c r="F31" s="1253"/>
      <c r="G31" s="1262"/>
      <c r="H31" s="1251"/>
      <c r="I31" s="1264"/>
      <c r="J31" s="1249"/>
      <c r="K31" s="1250"/>
      <c r="L31" s="92"/>
      <c r="O31" s="11"/>
      <c r="P31" s="13"/>
    </row>
    <row r="32" spans="1:19">
      <c r="A32" s="1243"/>
      <c r="B32" s="2047"/>
      <c r="C32" s="2048"/>
      <c r="D32" s="1263"/>
      <c r="E32" s="1264"/>
      <c r="F32" s="1253"/>
      <c r="G32" s="1262"/>
      <c r="H32" s="1251"/>
      <c r="I32" s="1264"/>
      <c r="J32" s="1249"/>
      <c r="K32" s="1250"/>
      <c r="L32" s="92"/>
      <c r="O32" s="11"/>
      <c r="P32" s="13"/>
    </row>
    <row r="33" spans="1:18">
      <c r="A33" s="1243"/>
      <c r="B33" s="2047"/>
      <c r="C33" s="2048"/>
      <c r="D33" s="1263"/>
      <c r="E33" s="1264"/>
      <c r="F33" s="1253"/>
      <c r="G33" s="1262"/>
      <c r="H33" s="1251"/>
      <c r="I33" s="1264"/>
      <c r="J33" s="1249"/>
      <c r="K33" s="1250"/>
      <c r="L33" s="92"/>
      <c r="O33" s="11"/>
      <c r="P33" s="13"/>
    </row>
    <row r="34" spans="1:18">
      <c r="A34" s="1243"/>
      <c r="B34" s="2047"/>
      <c r="C34" s="2048"/>
      <c r="D34" s="1263"/>
      <c r="E34" s="1264"/>
      <c r="F34" s="1253"/>
      <c r="G34" s="1262"/>
      <c r="H34" s="1251"/>
      <c r="I34" s="1264"/>
      <c r="J34" s="1249"/>
      <c r="K34" s="1250"/>
      <c r="L34" s="92"/>
      <c r="O34" s="11"/>
      <c r="P34" s="13"/>
    </row>
    <row r="35" spans="1:18">
      <c r="A35" s="1243"/>
      <c r="B35" s="2047"/>
      <c r="C35" s="2048"/>
      <c r="D35" s="1263"/>
      <c r="E35" s="1264"/>
      <c r="F35" s="1253"/>
      <c r="G35" s="1262"/>
      <c r="H35" s="1251"/>
      <c r="I35" s="1264"/>
      <c r="J35" s="1249"/>
      <c r="K35" s="1250"/>
      <c r="L35" s="92"/>
      <c r="O35" s="11"/>
      <c r="P35" s="13"/>
    </row>
    <row r="36" spans="1:18">
      <c r="A36" s="1243"/>
      <c r="B36" s="2047"/>
      <c r="C36" s="2048"/>
      <c r="D36" s="1263"/>
      <c r="E36" s="1264"/>
      <c r="F36" s="1253"/>
      <c r="G36" s="1262"/>
      <c r="H36" s="1251"/>
      <c r="I36" s="1264"/>
      <c r="J36" s="1249"/>
      <c r="K36" s="1250"/>
      <c r="L36" s="92"/>
      <c r="O36" s="11"/>
      <c r="P36" s="13"/>
    </row>
    <row r="37" spans="1:18">
      <c r="A37" s="1243"/>
      <c r="B37" s="2047"/>
      <c r="C37" s="2048"/>
      <c r="D37" s="1263"/>
      <c r="E37" s="1264"/>
      <c r="F37" s="1253"/>
      <c r="G37" s="1262"/>
      <c r="H37" s="1251"/>
      <c r="I37" s="1264"/>
      <c r="J37" s="1249"/>
      <c r="K37" s="1250"/>
      <c r="L37" s="92"/>
      <c r="O37" s="11"/>
      <c r="P37" s="13"/>
    </row>
    <row r="38" spans="1:18">
      <c r="A38" s="1243"/>
      <c r="B38" s="2047"/>
      <c r="C38" s="2048"/>
      <c r="D38" s="1263"/>
      <c r="E38" s="1264"/>
      <c r="F38" s="1253"/>
      <c r="G38" s="1262"/>
      <c r="H38" s="1251"/>
      <c r="I38" s="1264"/>
      <c r="J38" s="1249"/>
      <c r="K38" s="1250"/>
      <c r="L38" s="92"/>
      <c r="O38" s="11"/>
      <c r="P38" s="13"/>
    </row>
    <row r="39" spans="1:18" ht="13.5" thickBot="1">
      <c r="A39" s="1242" t="s">
        <v>154</v>
      </c>
      <c r="B39" s="2055" t="str">
        <f>IF(B20="","",B20)</f>
        <v/>
      </c>
      <c r="C39" s="2056"/>
      <c r="D39" s="2057"/>
      <c r="E39" s="1255"/>
      <c r="F39" s="2058" t="s">
        <v>1474</v>
      </c>
      <c r="G39" s="2059"/>
      <c r="H39" s="1265">
        <f>H20</f>
        <v>0</v>
      </c>
      <c r="I39" s="1266"/>
      <c r="J39" s="1267">
        <f>E39</f>
        <v>0</v>
      </c>
      <c r="K39" s="1268"/>
      <c r="L39" s="92"/>
      <c r="O39" s="11"/>
    </row>
    <row r="40" spans="1:18" ht="13.5" thickBot="1">
      <c r="A40" s="1272"/>
      <c r="B40" s="1273"/>
      <c r="C40" s="2053" t="s">
        <v>354</v>
      </c>
      <c r="D40" s="2054"/>
      <c r="E40" s="1274">
        <f>SUM(E26:E39)</f>
        <v>0</v>
      </c>
      <c r="F40" s="366" t="s">
        <v>434</v>
      </c>
      <c r="G40" s="367"/>
      <c r="H40" s="1269"/>
      <c r="I40" s="1270">
        <f>SUM(I26:I38)</f>
        <v>0</v>
      </c>
      <c r="J40" s="1271">
        <f>SUM(J26:J39)</f>
        <v>0</v>
      </c>
      <c r="K40" s="1260">
        <f>SUM(K26:K38)</f>
        <v>0</v>
      </c>
      <c r="L40" s="92"/>
      <c r="M40" t="s">
        <v>434</v>
      </c>
      <c r="O40" s="11"/>
    </row>
    <row r="41" spans="1:18">
      <c r="A41" s="10"/>
      <c r="O41" s="11"/>
    </row>
    <row r="42" spans="1:18" ht="13.5" thickBot="1">
      <c r="A42" s="635" t="s">
        <v>827</v>
      </c>
      <c r="B42" s="19"/>
      <c r="C42" s="19"/>
      <c r="D42" s="19"/>
      <c r="E42" s="19"/>
      <c r="F42" s="19"/>
      <c r="G42" s="19"/>
      <c r="H42" s="19"/>
      <c r="I42" s="19"/>
      <c r="J42" s="19"/>
      <c r="K42" s="19"/>
      <c r="L42" s="19"/>
      <c r="M42" s="567" t="str">
        <f>'General '!AI11</f>
        <v>UA Version 5/8/19</v>
      </c>
      <c r="N42" s="19"/>
      <c r="O42" s="20"/>
    </row>
    <row r="43" spans="1:18" s="16" customFormat="1">
      <c r="A43" s="2083"/>
      <c r="B43" s="2084"/>
      <c r="C43" s="2084"/>
      <c r="D43" s="2084"/>
      <c r="E43" s="2084"/>
      <c r="F43" s="2084"/>
      <c r="G43" s="2084"/>
      <c r="H43" s="2084"/>
      <c r="I43" s="2084"/>
      <c r="J43" s="2084"/>
      <c r="K43" s="2084"/>
      <c r="L43" s="2084"/>
      <c r="M43" s="2084"/>
      <c r="N43" s="2084"/>
      <c r="O43" s="2085"/>
      <c r="P43" s="17"/>
      <c r="R43"/>
    </row>
    <row r="44" spans="1:18" s="16" customFormat="1">
      <c r="A44" s="2037"/>
      <c r="B44" s="2038"/>
      <c r="C44" s="2038"/>
      <c r="D44" s="2038"/>
      <c r="E44" s="2038"/>
      <c r="F44" s="2038"/>
      <c r="G44" s="2038"/>
      <c r="H44" s="2038"/>
      <c r="I44" s="2038"/>
      <c r="J44" s="2038"/>
      <c r="K44" s="2038"/>
      <c r="L44" s="2038"/>
      <c r="M44" s="2038"/>
      <c r="N44" s="2038"/>
      <c r="O44" s="2039"/>
      <c r="P44" s="17"/>
      <c r="R44"/>
    </row>
    <row r="45" spans="1:18" s="16" customFormat="1">
      <c r="A45" s="2037"/>
      <c r="B45" s="2038"/>
      <c r="C45" s="2038"/>
      <c r="D45" s="2038"/>
      <c r="E45" s="2038"/>
      <c r="F45" s="2038"/>
      <c r="G45" s="2038"/>
      <c r="H45" s="2038"/>
      <c r="I45" s="2038"/>
      <c r="J45" s="2038"/>
      <c r="K45" s="2038"/>
      <c r="L45" s="2038"/>
      <c r="M45" s="2038"/>
      <c r="N45" s="2038"/>
      <c r="O45" s="2039"/>
      <c r="P45" s="17"/>
      <c r="R45"/>
    </row>
    <row r="46" spans="1:18" s="16" customFormat="1">
      <c r="A46" s="2037"/>
      <c r="B46" s="2038"/>
      <c r="C46" s="2038"/>
      <c r="D46" s="2038"/>
      <c r="E46" s="2038"/>
      <c r="F46" s="2038"/>
      <c r="G46" s="2038"/>
      <c r="H46" s="2038"/>
      <c r="I46" s="2038"/>
      <c r="J46" s="2038"/>
      <c r="K46" s="2038"/>
      <c r="L46" s="2038"/>
      <c r="M46" s="2038"/>
      <c r="N46" s="2038"/>
      <c r="O46" s="2039"/>
      <c r="P46" s="17"/>
      <c r="R46"/>
    </row>
    <row r="47" spans="1:18" s="16" customFormat="1">
      <c r="A47" s="2037"/>
      <c r="B47" s="2038"/>
      <c r="C47" s="2038"/>
      <c r="D47" s="2038"/>
      <c r="E47" s="2038"/>
      <c r="F47" s="2038"/>
      <c r="G47" s="2038"/>
      <c r="H47" s="2038"/>
      <c r="I47" s="2038"/>
      <c r="J47" s="2038"/>
      <c r="K47" s="2038"/>
      <c r="L47" s="2038"/>
      <c r="M47" s="2038"/>
      <c r="N47" s="2038"/>
      <c r="O47" s="2039"/>
      <c r="P47" s="17"/>
      <c r="R47"/>
    </row>
    <row r="48" spans="1:18" s="16" customFormat="1">
      <c r="A48" s="2037"/>
      <c r="B48" s="2038"/>
      <c r="C48" s="2038"/>
      <c r="D48" s="2038"/>
      <c r="E48" s="2038"/>
      <c r="F48" s="2038"/>
      <c r="G48" s="2038"/>
      <c r="H48" s="2038"/>
      <c r="I48" s="2038"/>
      <c r="J48" s="2038"/>
      <c r="K48" s="2038"/>
      <c r="L48" s="2038"/>
      <c r="M48" s="2038"/>
      <c r="N48" s="2038"/>
      <c r="O48" s="2039"/>
      <c r="P48" s="17"/>
      <c r="R48"/>
    </row>
    <row r="49" spans="1:18" s="16" customFormat="1" ht="13.5" thickBot="1">
      <c r="A49" s="2040"/>
      <c r="B49" s="2041"/>
      <c r="C49" s="2041"/>
      <c r="D49" s="2041"/>
      <c r="E49" s="2041"/>
      <c r="F49" s="2041"/>
      <c r="G49" s="2041"/>
      <c r="H49" s="2041"/>
      <c r="I49" s="2041"/>
      <c r="J49" s="2041"/>
      <c r="K49" s="2041"/>
      <c r="L49" s="2041"/>
      <c r="M49" s="2041"/>
      <c r="N49" s="2041"/>
      <c r="O49" s="2042"/>
      <c r="P49" s="17"/>
      <c r="R49"/>
    </row>
    <row r="50" spans="1:18">
      <c r="A50" s="631"/>
      <c r="B50" s="631"/>
      <c r="C50" s="632"/>
      <c r="D50" s="631"/>
      <c r="E50" s="633"/>
      <c r="F50" s="631"/>
      <c r="G50" s="631"/>
      <c r="H50" s="631"/>
      <c r="I50" s="631"/>
      <c r="J50" s="631"/>
      <c r="K50" s="631"/>
      <c r="L50" s="631"/>
      <c r="M50" s="631"/>
      <c r="N50" s="631"/>
      <c r="O50" s="634"/>
      <c r="P50" s="16"/>
      <c r="Q50" s="16"/>
    </row>
    <row r="51" spans="1:18">
      <c r="A51" s="41"/>
      <c r="B51" s="41"/>
      <c r="C51" s="47"/>
      <c r="D51" s="47"/>
      <c r="E51" s="41"/>
      <c r="F51" s="41"/>
      <c r="G51" s="41"/>
      <c r="H51" s="41"/>
      <c r="I51" s="41"/>
      <c r="J51" s="41"/>
      <c r="K51" s="41"/>
      <c r="L51" s="41"/>
      <c r="M51" s="41"/>
      <c r="N51" s="41"/>
      <c r="O51" s="16"/>
      <c r="P51" s="16"/>
      <c r="Q51" s="16"/>
      <c r="R51" s="16"/>
    </row>
    <row r="52" spans="1:18">
      <c r="A52" s="83"/>
      <c r="B52" s="41"/>
      <c r="C52" s="41"/>
      <c r="D52" s="41"/>
      <c r="E52" s="41"/>
      <c r="F52" s="41"/>
      <c r="G52" s="41"/>
      <c r="H52" s="41"/>
      <c r="I52" s="41"/>
      <c r="J52" s="41"/>
      <c r="K52" s="41"/>
      <c r="L52" s="41"/>
      <c r="M52" s="41"/>
      <c r="N52" s="41"/>
      <c r="O52" s="16"/>
      <c r="P52" s="16"/>
      <c r="Q52" s="16"/>
      <c r="R52" s="16"/>
    </row>
    <row r="53" spans="1:18">
      <c r="A53" s="84"/>
      <c r="B53" s="42"/>
      <c r="C53" s="42"/>
      <c r="D53" s="42"/>
      <c r="E53" s="42"/>
      <c r="F53" s="42"/>
      <c r="G53" s="42"/>
      <c r="H53" s="42"/>
      <c r="I53" s="42"/>
      <c r="J53" s="42"/>
      <c r="K53" s="42"/>
      <c r="L53" s="42"/>
      <c r="M53" s="42"/>
      <c r="N53" s="42"/>
      <c r="O53" s="375"/>
      <c r="P53" s="375"/>
      <c r="Q53" s="375"/>
      <c r="R53" s="375"/>
    </row>
    <row r="54" spans="1:18">
      <c r="A54" s="42"/>
      <c r="B54" s="42"/>
      <c r="C54" s="42"/>
      <c r="D54" s="42"/>
      <c r="E54" s="42"/>
      <c r="F54" s="42"/>
      <c r="G54" s="42"/>
      <c r="H54" s="42"/>
      <c r="I54" s="42"/>
      <c r="J54" s="42"/>
      <c r="K54" s="42"/>
      <c r="L54" s="42"/>
      <c r="M54" s="42"/>
      <c r="N54" s="42"/>
      <c r="O54" s="375"/>
      <c r="P54" s="375"/>
      <c r="Q54" s="375"/>
      <c r="R54" s="375"/>
    </row>
    <row r="55" spans="1:18">
      <c r="A55" s="42"/>
      <c r="B55" s="42"/>
      <c r="C55" s="42"/>
      <c r="D55" s="42"/>
      <c r="E55" s="42"/>
      <c r="F55" s="42"/>
      <c r="G55" s="42"/>
      <c r="H55" s="42"/>
      <c r="I55" s="42"/>
      <c r="J55" s="42"/>
      <c r="K55" s="42"/>
      <c r="L55" s="42"/>
      <c r="M55" s="42"/>
      <c r="N55" s="42"/>
      <c r="O55" s="375"/>
      <c r="P55" s="375"/>
      <c r="Q55" s="16"/>
      <c r="R55" s="375"/>
    </row>
    <row r="56" spans="1:18">
      <c r="A56" s="42"/>
      <c r="B56" s="42"/>
      <c r="C56" s="42"/>
      <c r="D56" s="42"/>
      <c r="E56" s="42"/>
      <c r="F56" s="42"/>
      <c r="G56" s="42"/>
      <c r="H56" s="42"/>
      <c r="I56" s="42"/>
      <c r="J56" s="42"/>
      <c r="K56" s="42"/>
      <c r="L56" s="42"/>
      <c r="M56" s="42"/>
      <c r="N56" s="42"/>
      <c r="O56" s="375"/>
      <c r="P56" s="375"/>
      <c r="Q56" s="375"/>
      <c r="R56" s="375"/>
    </row>
    <row r="57" spans="1:18">
      <c r="A57" s="42"/>
      <c r="B57" s="42"/>
      <c r="C57" s="42"/>
      <c r="D57" s="42"/>
      <c r="E57" s="42"/>
      <c r="F57" s="42"/>
      <c r="G57" s="42"/>
      <c r="H57" s="42"/>
      <c r="I57" s="42"/>
      <c r="J57" s="42"/>
      <c r="K57" s="42"/>
      <c r="L57" s="42"/>
      <c r="M57" s="42"/>
      <c r="N57" s="42"/>
      <c r="O57" s="375"/>
      <c r="P57" s="375"/>
      <c r="Q57" s="375"/>
      <c r="R57" s="375"/>
    </row>
    <row r="58" spans="1:18">
      <c r="A58" s="42"/>
      <c r="B58" s="42"/>
      <c r="C58" s="42"/>
      <c r="D58" s="42"/>
      <c r="E58" s="42"/>
      <c r="F58" s="42"/>
      <c r="G58" s="42"/>
      <c r="H58" s="42"/>
      <c r="I58" s="42"/>
      <c r="J58" s="42"/>
      <c r="K58" s="42"/>
      <c r="L58" s="42"/>
      <c r="M58" s="42"/>
      <c r="N58" s="42"/>
      <c r="O58" s="375"/>
      <c r="P58" s="375"/>
      <c r="Q58" s="375"/>
      <c r="R58" s="375"/>
    </row>
    <row r="59" spans="1:18">
      <c r="A59" s="84"/>
      <c r="B59" s="42"/>
      <c r="C59" s="42"/>
      <c r="D59" s="42"/>
      <c r="E59" s="42"/>
      <c r="F59" s="42"/>
      <c r="G59" s="42"/>
      <c r="H59" s="42"/>
      <c r="I59" s="42"/>
      <c r="J59" s="42"/>
      <c r="K59" s="42"/>
      <c r="L59" s="42"/>
      <c r="M59" s="42"/>
      <c r="N59" s="42"/>
      <c r="O59" s="375"/>
      <c r="P59" s="375"/>
      <c r="Q59" s="375"/>
      <c r="R59" s="375"/>
    </row>
    <row r="60" spans="1:18">
      <c r="A60" s="42"/>
      <c r="B60" s="42"/>
      <c r="C60" s="42"/>
      <c r="D60" s="42"/>
      <c r="E60" s="42"/>
      <c r="F60" s="42"/>
      <c r="G60" s="42"/>
      <c r="H60" s="42"/>
      <c r="I60" s="42"/>
      <c r="J60" s="42"/>
      <c r="K60" s="42"/>
      <c r="L60" s="42"/>
      <c r="M60" s="42"/>
      <c r="N60" s="42"/>
      <c r="O60" s="375"/>
      <c r="P60" s="375"/>
      <c r="Q60" s="375"/>
      <c r="R60" s="375"/>
    </row>
    <row r="61" spans="1:18">
      <c r="A61" s="42"/>
      <c r="B61" s="42"/>
      <c r="C61" s="42"/>
      <c r="D61" s="42"/>
      <c r="E61" s="42"/>
      <c r="F61" s="42"/>
      <c r="G61" s="42"/>
      <c r="H61" s="42"/>
      <c r="I61" s="42"/>
      <c r="J61" s="42"/>
      <c r="K61" s="42"/>
      <c r="L61" s="42"/>
      <c r="M61" s="42"/>
      <c r="N61" s="42"/>
      <c r="O61" s="375"/>
      <c r="P61" s="375"/>
      <c r="Q61" s="16"/>
      <c r="R61" s="375"/>
    </row>
    <row r="62" spans="1:18">
      <c r="A62" s="42"/>
      <c r="B62" s="42"/>
      <c r="C62" s="42"/>
      <c r="D62" s="42"/>
      <c r="E62" s="42"/>
      <c r="F62" s="42"/>
      <c r="G62" s="42"/>
      <c r="H62" s="42"/>
      <c r="I62" s="42"/>
      <c r="J62" s="42"/>
      <c r="K62" s="42"/>
      <c r="L62" s="42"/>
      <c r="M62" s="42"/>
      <c r="N62" s="42"/>
      <c r="O62" s="375"/>
      <c r="P62" s="375"/>
      <c r="Q62" s="375"/>
      <c r="R62" s="375"/>
    </row>
    <row r="63" spans="1:18">
      <c r="A63" s="84"/>
      <c r="B63" s="42"/>
      <c r="C63" s="42"/>
      <c r="D63" s="42"/>
      <c r="E63" s="42"/>
      <c r="F63" s="42"/>
      <c r="G63" s="42"/>
      <c r="H63" s="42"/>
      <c r="I63" s="42"/>
      <c r="J63" s="42"/>
      <c r="K63" s="42"/>
      <c r="L63" s="42"/>
      <c r="M63" s="42"/>
      <c r="N63" s="42"/>
      <c r="O63" s="375"/>
      <c r="P63" s="375"/>
      <c r="Q63" s="375"/>
      <c r="R63" s="375"/>
    </row>
    <row r="64" spans="1:18">
      <c r="A64" s="42"/>
      <c r="B64" s="42"/>
      <c r="C64" s="42"/>
      <c r="D64" s="42"/>
      <c r="E64" s="42"/>
      <c r="F64" s="42"/>
      <c r="G64" s="42"/>
      <c r="H64" s="42"/>
      <c r="I64" s="42"/>
      <c r="J64" s="42"/>
      <c r="K64" s="42"/>
      <c r="L64" s="42"/>
      <c r="M64" s="42"/>
      <c r="N64" s="42"/>
      <c r="O64" s="375"/>
      <c r="P64" s="375"/>
      <c r="Q64" s="375"/>
      <c r="R64" s="375"/>
    </row>
    <row r="65" spans="1:18">
      <c r="A65" s="84"/>
      <c r="B65" s="42"/>
      <c r="C65" s="42"/>
      <c r="D65" s="42"/>
      <c r="E65" s="42"/>
      <c r="F65" s="42"/>
      <c r="G65" s="42"/>
      <c r="H65" s="42"/>
      <c r="I65" s="42"/>
      <c r="J65" s="42"/>
      <c r="K65" s="42"/>
      <c r="L65" s="42"/>
      <c r="M65" s="42"/>
      <c r="N65" s="42"/>
      <c r="O65" s="375"/>
      <c r="P65" s="375"/>
      <c r="Q65" s="375"/>
      <c r="R65" s="375"/>
    </row>
    <row r="66" spans="1:18">
      <c r="A66" s="42"/>
      <c r="B66" s="42"/>
      <c r="C66" s="42"/>
      <c r="D66" s="42"/>
      <c r="E66" s="42"/>
      <c r="F66" s="42"/>
      <c r="G66" s="42"/>
      <c r="H66" s="42"/>
      <c r="I66" s="42"/>
      <c r="J66" s="42"/>
      <c r="K66" s="42"/>
      <c r="L66" s="42"/>
      <c r="M66" s="42"/>
      <c r="N66" s="42"/>
      <c r="O66" s="375"/>
      <c r="P66" s="375"/>
      <c r="Q66" s="375"/>
      <c r="R66" s="375"/>
    </row>
    <row r="67" spans="1:18">
      <c r="A67" s="42"/>
      <c r="B67" s="42"/>
      <c r="C67" s="42"/>
      <c r="D67" s="42"/>
      <c r="E67" s="42"/>
      <c r="F67" s="42"/>
      <c r="G67" s="42"/>
      <c r="H67" s="42"/>
      <c r="I67" s="42"/>
      <c r="J67" s="42"/>
      <c r="K67" s="42"/>
      <c r="L67" s="42"/>
      <c r="M67" s="42"/>
      <c r="N67" s="42"/>
      <c r="O67" s="375"/>
      <c r="P67" s="375"/>
      <c r="Q67" s="16"/>
      <c r="R67" s="375"/>
    </row>
    <row r="68" spans="1:18">
      <c r="A68" s="42"/>
      <c r="B68" s="42"/>
      <c r="C68" s="42"/>
      <c r="D68" s="42"/>
      <c r="E68" s="42"/>
      <c r="F68" s="42"/>
      <c r="G68" s="42"/>
      <c r="H68" s="42"/>
      <c r="I68" s="42"/>
      <c r="J68" s="42"/>
      <c r="K68" s="42"/>
      <c r="L68" s="42"/>
      <c r="M68" s="42"/>
      <c r="N68" s="42"/>
      <c r="O68" s="375"/>
      <c r="P68" s="375"/>
      <c r="Q68" s="375"/>
      <c r="R68" s="375"/>
    </row>
    <row r="69" spans="1:18">
      <c r="A69" s="42"/>
      <c r="B69" s="42"/>
      <c r="C69" s="42"/>
      <c r="D69" s="42"/>
      <c r="E69" s="42"/>
      <c r="F69" s="42"/>
      <c r="G69" s="42"/>
      <c r="H69" s="42"/>
      <c r="I69" s="42"/>
      <c r="J69" s="42"/>
      <c r="K69" s="42"/>
      <c r="L69" s="42"/>
      <c r="M69" s="42"/>
      <c r="N69" s="42"/>
      <c r="O69" s="375"/>
      <c r="P69" s="375"/>
      <c r="Q69" s="375"/>
      <c r="R69" s="375"/>
    </row>
    <row r="70" spans="1:18">
      <c r="A70" s="42"/>
      <c r="B70" s="42"/>
      <c r="C70" s="42"/>
      <c r="D70" s="42"/>
      <c r="E70" s="42"/>
      <c r="F70" s="42"/>
      <c r="G70" s="42"/>
      <c r="H70" s="42"/>
      <c r="I70" s="42"/>
      <c r="J70" s="42"/>
      <c r="K70" s="42"/>
      <c r="L70" s="42"/>
      <c r="M70" s="42"/>
      <c r="N70" s="42"/>
      <c r="O70" s="375"/>
      <c r="P70" s="375"/>
      <c r="Q70" s="375"/>
      <c r="R70" s="375"/>
    </row>
    <row r="71" spans="1:18">
      <c r="A71" s="84"/>
      <c r="B71" s="42"/>
      <c r="C71" s="42"/>
      <c r="D71" s="42"/>
      <c r="E71" s="42"/>
      <c r="F71" s="42"/>
      <c r="G71" s="42"/>
      <c r="H71" s="42"/>
      <c r="I71" s="42"/>
      <c r="J71" s="42"/>
      <c r="K71" s="42"/>
      <c r="L71" s="42"/>
      <c r="M71" s="42"/>
      <c r="N71" s="42"/>
      <c r="O71" s="375"/>
      <c r="P71" s="375"/>
      <c r="Q71" s="375"/>
      <c r="R71" s="375"/>
    </row>
    <row r="72" spans="1:18">
      <c r="A72" s="42"/>
      <c r="B72" s="42"/>
      <c r="C72" s="42"/>
      <c r="D72" s="42"/>
      <c r="E72" s="42"/>
      <c r="F72" s="42"/>
      <c r="G72" s="42"/>
      <c r="H72" s="42"/>
      <c r="I72" s="42"/>
      <c r="J72" s="42"/>
      <c r="K72" s="42"/>
      <c r="L72" s="42"/>
      <c r="M72" s="42"/>
      <c r="N72" s="42"/>
      <c r="O72" s="375"/>
      <c r="P72" s="375"/>
      <c r="Q72" s="375"/>
      <c r="R72" s="375"/>
    </row>
    <row r="73" spans="1:18">
      <c r="A73" s="42"/>
      <c r="B73" s="42"/>
      <c r="C73" s="42"/>
      <c r="D73" s="42"/>
      <c r="E73" s="42"/>
      <c r="F73" s="42"/>
      <c r="G73" s="42"/>
      <c r="H73" s="42"/>
      <c r="I73" s="42"/>
      <c r="J73" s="42"/>
      <c r="K73" s="42"/>
      <c r="L73" s="42"/>
      <c r="M73" s="42"/>
      <c r="N73" s="42"/>
      <c r="O73" s="375"/>
      <c r="P73" s="375"/>
      <c r="Q73" s="16"/>
      <c r="R73" s="375"/>
    </row>
    <row r="74" spans="1:18">
      <c r="A74" s="42"/>
      <c r="B74" s="42"/>
      <c r="C74" s="42"/>
      <c r="D74" s="42"/>
      <c r="E74" s="42"/>
      <c r="F74" s="42"/>
      <c r="G74" s="42"/>
      <c r="H74" s="42"/>
      <c r="I74" s="42"/>
      <c r="J74" s="42"/>
      <c r="K74" s="42"/>
      <c r="L74" s="42"/>
      <c r="M74" s="42"/>
      <c r="N74" s="42"/>
      <c r="O74" s="375"/>
      <c r="P74" s="375"/>
      <c r="Q74" s="375"/>
      <c r="R74" s="375"/>
    </row>
    <row r="75" spans="1:18">
      <c r="A75" s="42"/>
      <c r="B75" s="42"/>
      <c r="C75" s="42"/>
      <c r="D75" s="42"/>
      <c r="E75" s="42"/>
      <c r="F75" s="42"/>
      <c r="G75" s="42"/>
      <c r="H75" s="42"/>
      <c r="I75" s="42"/>
      <c r="J75" s="42"/>
      <c r="K75" s="42"/>
      <c r="L75" s="42"/>
      <c r="M75" s="42"/>
      <c r="N75" s="42"/>
      <c r="O75" s="375"/>
      <c r="P75" s="375"/>
      <c r="Q75" s="375"/>
      <c r="R75" s="375"/>
    </row>
    <row r="76" spans="1:18">
      <c r="A76" s="42"/>
      <c r="B76" s="42"/>
      <c r="C76" s="42"/>
      <c r="D76" s="42"/>
      <c r="E76" s="42"/>
      <c r="F76" s="42"/>
      <c r="G76" s="42"/>
      <c r="H76" s="42"/>
      <c r="I76" s="42"/>
      <c r="J76" s="42"/>
      <c r="K76" s="42"/>
      <c r="L76" s="42"/>
      <c r="M76" s="42"/>
      <c r="N76" s="42"/>
      <c r="O76" s="375"/>
      <c r="P76" s="375"/>
      <c r="Q76" s="375"/>
      <c r="R76" s="375"/>
    </row>
    <row r="77" spans="1:18">
      <c r="A77" s="84"/>
      <c r="B77" s="42"/>
      <c r="C77" s="42"/>
      <c r="D77" s="42"/>
      <c r="E77" s="42"/>
      <c r="F77" s="42"/>
      <c r="G77" s="42"/>
      <c r="H77" s="42"/>
      <c r="I77" s="42"/>
      <c r="J77" s="42"/>
      <c r="K77" s="42"/>
      <c r="L77" s="42"/>
      <c r="M77" s="42"/>
      <c r="N77" s="42"/>
      <c r="O77" s="375"/>
      <c r="P77" s="375"/>
      <c r="Q77" s="375"/>
      <c r="R77" s="375"/>
    </row>
    <row r="78" spans="1:18">
      <c r="A78" s="42"/>
      <c r="B78" s="42"/>
      <c r="C78" s="42"/>
      <c r="D78" s="42"/>
      <c r="E78" s="42"/>
      <c r="F78" s="42"/>
      <c r="G78" s="42"/>
      <c r="H78" s="42"/>
      <c r="I78" s="42"/>
      <c r="J78" s="42"/>
      <c r="K78" s="42"/>
      <c r="L78" s="42"/>
      <c r="M78" s="42"/>
      <c r="N78" s="42"/>
      <c r="O78" s="375"/>
      <c r="P78" s="375"/>
      <c r="Q78" s="375"/>
      <c r="R78" s="375"/>
    </row>
    <row r="79" spans="1:18">
      <c r="A79" s="42"/>
      <c r="B79" s="42"/>
      <c r="C79" s="42"/>
      <c r="D79" s="42"/>
      <c r="E79" s="42"/>
      <c r="F79" s="42"/>
      <c r="G79" s="42"/>
      <c r="H79" s="42"/>
      <c r="I79" s="42"/>
      <c r="J79" s="42"/>
      <c r="K79" s="42"/>
      <c r="L79" s="42"/>
      <c r="M79" s="42"/>
      <c r="N79" s="42"/>
      <c r="O79" s="375"/>
      <c r="P79" s="375"/>
      <c r="Q79" s="16"/>
      <c r="R79" s="375"/>
    </row>
    <row r="80" spans="1:18">
      <c r="A80" s="42"/>
      <c r="B80" s="42"/>
      <c r="C80" s="42"/>
      <c r="D80" s="42"/>
      <c r="E80" s="42"/>
      <c r="F80" s="42"/>
      <c r="G80" s="42"/>
      <c r="H80" s="42"/>
      <c r="I80" s="42"/>
      <c r="J80" s="42"/>
      <c r="K80" s="42"/>
      <c r="L80" s="42"/>
      <c r="M80" s="42"/>
      <c r="N80" s="42"/>
      <c r="O80" s="375"/>
      <c r="P80" s="375"/>
      <c r="Q80" s="375"/>
      <c r="R80" s="375"/>
    </row>
    <row r="81" spans="1:18">
      <c r="A81" s="42"/>
      <c r="B81" s="42"/>
      <c r="C81" s="42"/>
      <c r="D81" s="42"/>
      <c r="E81" s="42"/>
      <c r="F81" s="42"/>
      <c r="G81" s="42"/>
      <c r="H81" s="42"/>
      <c r="I81" s="42"/>
      <c r="J81" s="42"/>
      <c r="K81" s="42"/>
      <c r="L81" s="42"/>
      <c r="M81" s="42"/>
      <c r="N81" s="42"/>
      <c r="O81" s="375"/>
      <c r="P81" s="375"/>
      <c r="Q81" s="375"/>
      <c r="R81" s="375"/>
    </row>
    <row r="82" spans="1:18">
      <c r="A82" s="42"/>
      <c r="B82" s="42"/>
      <c r="C82" s="42"/>
      <c r="D82" s="42"/>
      <c r="E82" s="42"/>
      <c r="F82" s="42"/>
      <c r="G82" s="42"/>
      <c r="H82" s="42"/>
      <c r="I82" s="42"/>
      <c r="J82" s="42"/>
      <c r="K82" s="42"/>
      <c r="L82" s="42"/>
      <c r="M82" s="42"/>
      <c r="N82" s="42"/>
      <c r="O82" s="375"/>
      <c r="P82" s="375"/>
      <c r="Q82" s="375"/>
      <c r="R82" s="375"/>
    </row>
    <row r="83" spans="1:18">
      <c r="A83" s="84"/>
      <c r="B83" s="42"/>
      <c r="C83" s="42"/>
      <c r="D83" s="42"/>
      <c r="E83" s="42"/>
      <c r="F83" s="42"/>
      <c r="G83" s="42"/>
      <c r="H83" s="42"/>
      <c r="I83" s="42"/>
      <c r="J83" s="42"/>
      <c r="K83" s="42"/>
      <c r="L83" s="42"/>
      <c r="M83" s="42"/>
      <c r="N83" s="42"/>
      <c r="O83" s="375"/>
      <c r="P83" s="375"/>
      <c r="Q83" s="375"/>
      <c r="R83" s="375"/>
    </row>
    <row r="84" spans="1:18">
      <c r="A84" s="42"/>
      <c r="B84" s="42"/>
      <c r="C84" s="42"/>
      <c r="D84" s="42"/>
      <c r="E84" s="42"/>
      <c r="F84" s="42"/>
      <c r="G84" s="42"/>
      <c r="H84" s="42"/>
      <c r="I84" s="42"/>
      <c r="J84" s="42"/>
      <c r="K84" s="42"/>
      <c r="L84" s="42"/>
      <c r="M84" s="42"/>
      <c r="N84" s="42"/>
      <c r="O84" s="375"/>
      <c r="P84" s="375"/>
      <c r="Q84" s="375"/>
      <c r="R84" s="375"/>
    </row>
    <row r="85" spans="1:18">
      <c r="A85" s="42"/>
      <c r="B85" s="42"/>
      <c r="C85" s="42"/>
      <c r="D85" s="42"/>
      <c r="E85" s="42"/>
      <c r="F85" s="42"/>
      <c r="G85" s="42"/>
      <c r="H85" s="42"/>
      <c r="I85" s="42"/>
      <c r="J85" s="42"/>
      <c r="K85" s="42"/>
      <c r="L85" s="42"/>
      <c r="M85" s="42"/>
      <c r="N85" s="42"/>
      <c r="O85" s="375"/>
      <c r="P85" s="375"/>
      <c r="Q85" s="16"/>
      <c r="R85" s="375"/>
    </row>
    <row r="86" spans="1:18">
      <c r="A86" s="42"/>
      <c r="B86" s="42"/>
      <c r="C86" s="42"/>
      <c r="D86" s="42"/>
      <c r="E86" s="42"/>
      <c r="F86" s="42"/>
      <c r="G86" s="42"/>
      <c r="H86" s="42"/>
      <c r="I86" s="42"/>
      <c r="J86" s="42"/>
      <c r="K86" s="42"/>
      <c r="L86" s="42"/>
      <c r="M86" s="42"/>
      <c r="N86" s="42"/>
      <c r="O86" s="375"/>
      <c r="P86" s="375"/>
      <c r="Q86" s="375"/>
      <c r="R86" s="375"/>
    </row>
    <row r="87" spans="1:18">
      <c r="A87" s="42"/>
      <c r="B87" s="42"/>
      <c r="C87" s="42"/>
      <c r="D87" s="42"/>
      <c r="E87" s="42"/>
      <c r="F87" s="42"/>
      <c r="G87" s="42"/>
      <c r="H87" s="42"/>
      <c r="I87" s="42"/>
      <c r="J87" s="42"/>
      <c r="K87" s="42"/>
      <c r="L87" s="42"/>
      <c r="M87" s="42"/>
      <c r="N87" s="42"/>
      <c r="O87" s="375"/>
      <c r="P87" s="375"/>
      <c r="Q87" s="375"/>
      <c r="R87" s="375"/>
    </row>
    <row r="88" spans="1:18">
      <c r="A88" s="42"/>
      <c r="B88" s="42"/>
      <c r="C88" s="42"/>
      <c r="D88" s="42"/>
      <c r="E88" s="42"/>
      <c r="F88" s="42"/>
      <c r="G88" s="42"/>
      <c r="H88" s="42"/>
      <c r="I88" s="42"/>
      <c r="J88" s="42"/>
      <c r="K88" s="42"/>
      <c r="L88" s="42"/>
      <c r="M88" s="42"/>
      <c r="N88" s="42"/>
      <c r="O88" s="375"/>
      <c r="P88" s="375"/>
      <c r="Q88" s="375"/>
      <c r="R88" s="375"/>
    </row>
    <row r="89" spans="1:18">
      <c r="A89" s="84"/>
      <c r="B89" s="42"/>
      <c r="C89" s="42"/>
      <c r="D89" s="42"/>
      <c r="E89" s="42"/>
      <c r="F89" s="42"/>
      <c r="G89" s="42"/>
      <c r="H89" s="42"/>
      <c r="I89" s="42"/>
      <c r="J89" s="42"/>
      <c r="K89" s="42"/>
      <c r="L89" s="42"/>
      <c r="M89" s="42"/>
      <c r="N89" s="42"/>
      <c r="O89" s="375"/>
      <c r="P89" s="375"/>
      <c r="Q89" s="375"/>
      <c r="R89" s="375"/>
    </row>
    <row r="90" spans="1:18">
      <c r="A90" s="42"/>
      <c r="B90" s="42"/>
      <c r="C90" s="42"/>
      <c r="D90" s="42"/>
      <c r="E90" s="42"/>
      <c r="F90" s="42"/>
      <c r="G90" s="42"/>
      <c r="H90" s="42"/>
      <c r="I90" s="42"/>
      <c r="J90" s="42"/>
      <c r="K90" s="42"/>
      <c r="L90" s="42"/>
      <c r="M90" s="42"/>
      <c r="N90" s="42"/>
      <c r="O90" s="375"/>
      <c r="P90" s="375"/>
      <c r="Q90" s="375"/>
      <c r="R90" s="375"/>
    </row>
    <row r="91" spans="1:18">
      <c r="A91" s="42"/>
      <c r="B91" s="42"/>
      <c r="C91" s="42"/>
      <c r="D91" s="42"/>
      <c r="E91" s="42"/>
      <c r="F91" s="42"/>
      <c r="G91" s="42"/>
      <c r="H91" s="42"/>
      <c r="I91" s="42"/>
      <c r="J91" s="42"/>
      <c r="K91" s="42"/>
      <c r="L91" s="42"/>
      <c r="M91" s="42"/>
      <c r="N91" s="42"/>
      <c r="O91" s="375"/>
      <c r="P91" s="375"/>
      <c r="Q91" s="16"/>
      <c r="R91" s="375"/>
    </row>
    <row r="92" spans="1:18">
      <c r="A92" s="42"/>
      <c r="B92" s="42"/>
      <c r="C92" s="42"/>
      <c r="D92" s="42"/>
      <c r="E92" s="42"/>
      <c r="F92" s="42"/>
      <c r="G92" s="42"/>
      <c r="H92" s="42"/>
      <c r="I92" s="42"/>
      <c r="J92" s="42"/>
      <c r="K92" s="42"/>
      <c r="L92" s="42"/>
      <c r="M92" s="42"/>
      <c r="N92" s="42"/>
      <c r="O92" s="375"/>
      <c r="P92" s="375"/>
      <c r="Q92" s="375"/>
      <c r="R92" s="375"/>
    </row>
    <row r="93" spans="1:18">
      <c r="A93" s="42"/>
      <c r="B93" s="42"/>
      <c r="C93" s="42"/>
      <c r="D93" s="42"/>
      <c r="E93" s="42"/>
      <c r="F93" s="42"/>
      <c r="G93" s="42"/>
      <c r="H93" s="42"/>
      <c r="I93" s="42"/>
      <c r="J93" s="42"/>
      <c r="K93" s="42"/>
      <c r="L93" s="42"/>
      <c r="M93" s="42"/>
      <c r="N93" s="42"/>
      <c r="O93" s="375"/>
      <c r="P93" s="375"/>
      <c r="Q93" s="375"/>
      <c r="R93" s="375"/>
    </row>
    <row r="94" spans="1:18">
      <c r="A94" s="42"/>
      <c r="B94" s="42"/>
      <c r="C94" s="42"/>
      <c r="D94" s="42"/>
      <c r="E94" s="42"/>
      <c r="F94" s="42"/>
      <c r="G94" s="42"/>
      <c r="H94" s="42"/>
      <c r="I94" s="42"/>
      <c r="J94" s="42"/>
      <c r="K94" s="42"/>
      <c r="L94" s="42"/>
      <c r="M94" s="42"/>
      <c r="N94" s="42"/>
      <c r="O94" s="375"/>
      <c r="P94" s="375"/>
      <c r="Q94" s="375"/>
      <c r="R94" s="375"/>
    </row>
    <row r="95" spans="1:18">
      <c r="A95" s="84"/>
      <c r="B95" s="42"/>
      <c r="C95" s="42"/>
      <c r="D95" s="42"/>
      <c r="E95" s="42"/>
      <c r="F95" s="42"/>
      <c r="G95" s="42"/>
      <c r="H95" s="42"/>
      <c r="I95" s="42"/>
      <c r="J95" s="42"/>
      <c r="K95" s="42"/>
      <c r="L95" s="42"/>
      <c r="M95" s="42"/>
      <c r="N95" s="42"/>
      <c r="O95" s="375"/>
      <c r="P95" s="375"/>
      <c r="Q95" s="375"/>
      <c r="R95" s="375"/>
    </row>
    <row r="96" spans="1:18">
      <c r="A96" s="85"/>
      <c r="B96" s="42"/>
      <c r="C96" s="42"/>
      <c r="D96" s="42"/>
      <c r="E96" s="42"/>
      <c r="F96" s="42"/>
      <c r="G96" s="42"/>
      <c r="H96" s="42"/>
      <c r="I96" s="42"/>
      <c r="J96" s="42"/>
      <c r="K96" s="42"/>
      <c r="L96" s="42"/>
      <c r="M96" s="42"/>
      <c r="N96" s="42"/>
      <c r="O96" s="375"/>
      <c r="P96" s="375"/>
      <c r="Q96" s="375"/>
      <c r="R96" s="375"/>
    </row>
    <row r="97" spans="1:18">
      <c r="A97" s="86"/>
      <c r="B97" s="42"/>
      <c r="C97" s="42"/>
      <c r="D97" s="42"/>
      <c r="E97" s="42"/>
      <c r="F97" s="42"/>
      <c r="G97" s="42"/>
      <c r="H97" s="42"/>
      <c r="I97" s="42"/>
      <c r="J97" s="42"/>
      <c r="K97" s="42"/>
      <c r="L97" s="42"/>
      <c r="M97" s="42"/>
      <c r="N97" s="42"/>
      <c r="O97" s="375"/>
      <c r="P97" s="375"/>
      <c r="Q97" s="16"/>
      <c r="R97" s="375"/>
    </row>
    <row r="98" spans="1:18">
      <c r="A98" s="42"/>
      <c r="B98" s="42"/>
      <c r="C98" s="42"/>
      <c r="D98" s="42"/>
      <c r="E98" s="42"/>
      <c r="F98" s="42"/>
      <c r="G98" s="42"/>
      <c r="H98" s="42"/>
      <c r="I98" s="42"/>
      <c r="J98" s="42"/>
      <c r="K98" s="42"/>
      <c r="L98" s="42"/>
      <c r="M98" s="42"/>
      <c r="N98" s="42"/>
      <c r="O98" s="375"/>
      <c r="P98" s="375"/>
      <c r="Q98" s="375"/>
      <c r="R98" s="375"/>
    </row>
    <row r="99" spans="1:18">
      <c r="A99" s="42"/>
      <c r="B99" s="42"/>
      <c r="C99" s="42"/>
      <c r="D99" s="42"/>
      <c r="E99" s="42"/>
      <c r="F99" s="42"/>
      <c r="G99" s="42"/>
      <c r="H99" s="42"/>
      <c r="I99" s="42"/>
      <c r="J99" s="42"/>
      <c r="K99" s="42"/>
      <c r="L99" s="42"/>
      <c r="M99" s="42"/>
      <c r="N99" s="42"/>
      <c r="O99" s="375"/>
      <c r="P99" s="375"/>
      <c r="Q99" s="375"/>
      <c r="R99" s="375"/>
    </row>
    <row r="100" spans="1:18">
      <c r="A100" s="42"/>
      <c r="B100" s="42"/>
      <c r="C100" s="42"/>
      <c r="D100" s="42"/>
      <c r="E100" s="42"/>
      <c r="F100" s="42"/>
      <c r="G100" s="42"/>
      <c r="H100" s="42"/>
      <c r="I100" s="42"/>
      <c r="J100" s="42"/>
      <c r="K100" s="42"/>
      <c r="L100" s="42"/>
      <c r="M100" s="42"/>
      <c r="N100" s="42"/>
      <c r="O100" s="375"/>
      <c r="P100" s="375"/>
      <c r="Q100" s="375"/>
      <c r="R100" s="375"/>
    </row>
    <row r="101" spans="1:18">
      <c r="A101" s="84"/>
      <c r="B101" s="42"/>
      <c r="C101" s="42"/>
      <c r="D101" s="42"/>
      <c r="E101" s="42"/>
      <c r="F101" s="42"/>
      <c r="G101" s="42"/>
      <c r="H101" s="42"/>
      <c r="I101" s="42"/>
      <c r="J101" s="42"/>
      <c r="K101" s="42"/>
      <c r="L101" s="42"/>
      <c r="M101" s="42"/>
      <c r="N101" s="42"/>
      <c r="O101" s="375"/>
      <c r="P101" s="375"/>
      <c r="Q101" s="375"/>
      <c r="R101" s="375"/>
    </row>
    <row r="102" spans="1:18">
      <c r="A102" s="42"/>
      <c r="B102" s="42"/>
      <c r="C102" s="42"/>
      <c r="D102" s="42"/>
      <c r="E102" s="42"/>
      <c r="F102" s="42"/>
      <c r="G102" s="42"/>
      <c r="H102" s="42"/>
      <c r="I102" s="42"/>
      <c r="J102" s="42"/>
      <c r="K102" s="42"/>
      <c r="L102" s="42"/>
      <c r="M102" s="42"/>
      <c r="N102" s="42"/>
      <c r="O102" s="375"/>
      <c r="P102" s="375"/>
      <c r="Q102" s="375"/>
      <c r="R102" s="375"/>
    </row>
    <row r="103" spans="1:18">
      <c r="A103" s="42"/>
      <c r="B103" s="42"/>
      <c r="C103" s="42"/>
      <c r="D103" s="42"/>
      <c r="E103" s="42"/>
      <c r="F103" s="42"/>
      <c r="G103" s="42"/>
      <c r="H103" s="42"/>
      <c r="I103" s="42"/>
      <c r="J103" s="42"/>
      <c r="K103" s="42"/>
      <c r="L103" s="42"/>
      <c r="M103" s="42"/>
      <c r="N103" s="42"/>
      <c r="O103" s="375"/>
      <c r="P103" s="375"/>
      <c r="Q103" s="16"/>
      <c r="R103" s="375"/>
    </row>
    <row r="104" spans="1:18">
      <c r="A104" s="42"/>
      <c r="B104" s="42"/>
      <c r="C104" s="42"/>
      <c r="D104" s="42"/>
      <c r="E104" s="42"/>
      <c r="F104" s="42"/>
      <c r="G104" s="42"/>
      <c r="H104" s="42"/>
      <c r="I104" s="42"/>
      <c r="J104" s="42"/>
      <c r="K104" s="42"/>
      <c r="L104" s="42"/>
      <c r="M104" s="42"/>
      <c r="N104" s="42"/>
      <c r="O104" s="375"/>
      <c r="P104" s="375"/>
      <c r="Q104" s="375"/>
      <c r="R104" s="375"/>
    </row>
    <row r="105" spans="1:18">
      <c r="A105" s="42"/>
      <c r="B105" s="42"/>
      <c r="C105" s="42"/>
      <c r="D105" s="42"/>
      <c r="E105" s="42"/>
      <c r="F105" s="42"/>
      <c r="G105" s="42"/>
      <c r="H105" s="42"/>
      <c r="I105" s="42"/>
      <c r="J105" s="42"/>
      <c r="K105" s="42"/>
      <c r="L105" s="42"/>
      <c r="M105" s="42"/>
      <c r="N105" s="42"/>
      <c r="O105" s="375"/>
      <c r="P105" s="375"/>
      <c r="Q105" s="375"/>
      <c r="R105" s="375"/>
    </row>
    <row r="106" spans="1:18">
      <c r="A106" s="42"/>
      <c r="B106" s="42"/>
      <c r="C106" s="42"/>
      <c r="D106" s="42"/>
      <c r="E106" s="42"/>
      <c r="F106" s="42"/>
      <c r="G106" s="42"/>
      <c r="H106" s="42"/>
      <c r="I106" s="42"/>
      <c r="J106" s="42"/>
      <c r="K106" s="42"/>
      <c r="L106" s="42"/>
      <c r="M106" s="42"/>
      <c r="N106" s="42"/>
      <c r="O106" s="375"/>
      <c r="P106" s="375"/>
      <c r="Q106" s="375"/>
      <c r="R106" s="375"/>
    </row>
    <row r="107" spans="1:18">
      <c r="A107" s="84"/>
      <c r="B107" s="42"/>
      <c r="C107" s="42"/>
      <c r="D107" s="42"/>
      <c r="E107" s="42"/>
      <c r="F107" s="42"/>
      <c r="G107" s="42"/>
      <c r="H107" s="42"/>
      <c r="I107" s="42"/>
      <c r="J107" s="42"/>
      <c r="K107" s="42"/>
      <c r="L107" s="42"/>
      <c r="M107" s="42"/>
      <c r="N107" s="42"/>
      <c r="O107" s="375"/>
      <c r="P107" s="375"/>
      <c r="Q107" s="375"/>
      <c r="R107" s="375"/>
    </row>
    <row r="108" spans="1:18">
      <c r="A108" s="42"/>
      <c r="B108" s="42"/>
      <c r="C108" s="42"/>
      <c r="D108" s="42"/>
      <c r="E108" s="42"/>
      <c r="F108" s="42"/>
      <c r="G108" s="42"/>
      <c r="H108" s="42"/>
      <c r="I108" s="42"/>
      <c r="J108" s="42"/>
      <c r="K108" s="42"/>
      <c r="L108" s="42"/>
      <c r="M108" s="42"/>
      <c r="N108" s="42"/>
      <c r="O108" s="375"/>
      <c r="P108" s="375"/>
      <c r="Q108" s="375"/>
      <c r="R108" s="375"/>
    </row>
    <row r="109" spans="1:18">
      <c r="A109" s="42"/>
      <c r="B109" s="42"/>
      <c r="C109" s="42"/>
      <c r="D109" s="42"/>
      <c r="E109" s="42"/>
      <c r="F109" s="42"/>
      <c r="G109" s="42"/>
      <c r="H109" s="42"/>
      <c r="I109" s="42"/>
      <c r="J109" s="42"/>
      <c r="K109" s="42"/>
      <c r="L109" s="42"/>
      <c r="M109" s="42"/>
      <c r="N109" s="42"/>
      <c r="O109" s="375"/>
      <c r="P109" s="375"/>
      <c r="Q109" s="16"/>
      <c r="R109" s="375"/>
    </row>
    <row r="110" spans="1:18">
      <c r="A110" s="42"/>
      <c r="B110" s="42"/>
      <c r="C110" s="42"/>
      <c r="D110" s="42"/>
      <c r="E110" s="42"/>
      <c r="F110" s="42"/>
      <c r="G110" s="42"/>
      <c r="H110" s="42"/>
      <c r="I110" s="42"/>
      <c r="J110" s="42"/>
      <c r="K110" s="42"/>
      <c r="L110" s="42"/>
      <c r="M110" s="42"/>
      <c r="N110" s="42"/>
      <c r="O110" s="375"/>
      <c r="P110" s="375"/>
      <c r="Q110" s="375"/>
      <c r="R110" s="375"/>
    </row>
    <row r="111" spans="1:18">
      <c r="A111" s="42"/>
      <c r="B111" s="42"/>
      <c r="C111" s="42"/>
      <c r="D111" s="42"/>
      <c r="E111" s="42"/>
      <c r="F111" s="42"/>
      <c r="G111" s="42"/>
      <c r="H111" s="42"/>
      <c r="I111" s="42"/>
      <c r="J111" s="42"/>
      <c r="K111" s="42"/>
      <c r="L111" s="42"/>
      <c r="M111" s="42"/>
      <c r="N111" s="42"/>
      <c r="O111" s="375"/>
      <c r="P111" s="375"/>
      <c r="Q111" s="375"/>
      <c r="R111" s="375"/>
    </row>
    <row r="112" spans="1:18">
      <c r="A112" s="42"/>
      <c r="B112" s="42"/>
      <c r="C112" s="42"/>
      <c r="D112" s="42"/>
      <c r="E112" s="42"/>
      <c r="F112" s="42"/>
      <c r="G112" s="42"/>
      <c r="H112" s="42"/>
      <c r="I112" s="42"/>
      <c r="J112" s="42"/>
      <c r="K112" s="42"/>
      <c r="L112" s="42"/>
      <c r="M112" s="42"/>
      <c r="N112" s="42"/>
      <c r="O112" s="375"/>
      <c r="P112" s="375"/>
      <c r="Q112" s="375"/>
      <c r="R112" s="375"/>
    </row>
    <row r="113" spans="1:18">
      <c r="A113" s="84"/>
      <c r="B113" s="42"/>
      <c r="C113" s="42"/>
      <c r="D113" s="42"/>
      <c r="E113" s="42"/>
      <c r="F113" s="42"/>
      <c r="G113" s="42"/>
      <c r="H113" s="42"/>
      <c r="I113" s="42"/>
      <c r="J113" s="42"/>
      <c r="K113" s="42"/>
      <c r="L113" s="42"/>
      <c r="M113" s="42"/>
      <c r="N113" s="42"/>
      <c r="O113" s="375"/>
      <c r="P113" s="375"/>
      <c r="Q113" s="375"/>
      <c r="R113" s="375"/>
    </row>
    <row r="114" spans="1:18">
      <c r="A114" s="42"/>
      <c r="B114" s="42"/>
      <c r="C114" s="42"/>
      <c r="D114" s="42"/>
      <c r="E114" s="42"/>
      <c r="F114" s="42"/>
      <c r="G114" s="42"/>
      <c r="H114" s="42"/>
      <c r="I114" s="42"/>
      <c r="J114" s="42"/>
      <c r="K114" s="42"/>
      <c r="L114" s="42"/>
      <c r="M114" s="42"/>
      <c r="N114" s="42"/>
      <c r="O114" s="375"/>
      <c r="P114" s="375"/>
      <c r="Q114" s="375"/>
      <c r="R114" s="375"/>
    </row>
    <row r="115" spans="1:18">
      <c r="A115" s="42"/>
      <c r="B115" s="42"/>
      <c r="C115" s="42"/>
      <c r="D115" s="42"/>
      <c r="E115" s="42"/>
      <c r="F115" s="42"/>
      <c r="G115" s="42"/>
      <c r="H115" s="42"/>
      <c r="I115" s="42"/>
      <c r="J115" s="42"/>
      <c r="K115" s="42"/>
      <c r="L115" s="42"/>
      <c r="M115" s="42"/>
      <c r="N115" s="42"/>
      <c r="O115" s="375"/>
      <c r="P115" s="375"/>
      <c r="Q115" s="16"/>
      <c r="R115" s="375"/>
    </row>
    <row r="116" spans="1:18">
      <c r="A116" s="42"/>
      <c r="B116" s="42"/>
      <c r="C116" s="42"/>
      <c r="D116" s="42"/>
      <c r="E116" s="42"/>
      <c r="F116" s="42"/>
      <c r="G116" s="42"/>
      <c r="H116" s="42"/>
      <c r="I116" s="42"/>
      <c r="J116" s="42"/>
      <c r="K116" s="42"/>
      <c r="L116" s="42"/>
      <c r="M116" s="42"/>
      <c r="N116" s="42"/>
      <c r="O116" s="375"/>
      <c r="P116" s="375"/>
      <c r="Q116" s="375"/>
      <c r="R116" s="375"/>
    </row>
    <row r="117" spans="1:18">
      <c r="A117" s="42"/>
      <c r="B117" s="42"/>
      <c r="C117" s="42"/>
      <c r="D117" s="42"/>
      <c r="E117" s="42"/>
      <c r="F117" s="42"/>
      <c r="G117" s="42"/>
      <c r="H117" s="42"/>
      <c r="I117" s="42"/>
      <c r="J117" s="42"/>
      <c r="K117" s="42"/>
      <c r="L117" s="42"/>
      <c r="M117" s="42"/>
      <c r="N117" s="42"/>
      <c r="O117" s="375"/>
      <c r="P117" s="375"/>
      <c r="Q117" s="375"/>
      <c r="R117" s="375"/>
    </row>
    <row r="118" spans="1:18">
      <c r="A118" s="42"/>
      <c r="B118" s="42"/>
      <c r="C118" s="42"/>
      <c r="D118" s="42"/>
      <c r="E118" s="42"/>
      <c r="F118" s="42"/>
      <c r="G118" s="42"/>
      <c r="H118" s="42"/>
      <c r="I118" s="42"/>
      <c r="J118" s="42"/>
      <c r="K118" s="42"/>
      <c r="L118" s="42"/>
      <c r="M118" s="42"/>
      <c r="N118" s="42"/>
      <c r="O118" s="375"/>
      <c r="P118" s="375"/>
      <c r="Q118" s="375"/>
      <c r="R118" s="375"/>
    </row>
    <row r="119" spans="1:18">
      <c r="A119" s="84"/>
      <c r="B119" s="42"/>
      <c r="C119" s="42"/>
      <c r="D119" s="42"/>
      <c r="E119" s="42"/>
      <c r="F119" s="42"/>
      <c r="G119" s="42"/>
      <c r="H119" s="42"/>
      <c r="I119" s="42"/>
      <c r="J119" s="42"/>
      <c r="K119" s="42"/>
      <c r="L119" s="42"/>
      <c r="M119" s="42"/>
      <c r="N119" s="42"/>
      <c r="O119" s="375"/>
      <c r="P119" s="375"/>
      <c r="Q119" s="375"/>
      <c r="R119" s="375"/>
    </row>
    <row r="120" spans="1:18">
      <c r="A120" s="42"/>
      <c r="B120" s="42"/>
      <c r="C120" s="42"/>
      <c r="D120" s="42"/>
      <c r="E120" s="42"/>
      <c r="F120" s="42"/>
      <c r="G120" s="42"/>
      <c r="H120" s="42"/>
      <c r="I120" s="42"/>
      <c r="J120" s="42"/>
      <c r="K120" s="42"/>
      <c r="L120" s="42"/>
      <c r="M120" s="42"/>
      <c r="N120" s="42"/>
      <c r="O120" s="375"/>
      <c r="P120" s="375"/>
      <c r="Q120" s="375"/>
      <c r="R120" s="375"/>
    </row>
    <row r="121" spans="1:18">
      <c r="A121" s="42"/>
      <c r="B121" s="42"/>
      <c r="C121" s="42"/>
      <c r="D121" s="42"/>
      <c r="E121" s="42"/>
      <c r="F121" s="42"/>
      <c r="G121" s="42"/>
      <c r="H121" s="42"/>
      <c r="I121" s="42"/>
      <c r="J121" s="42"/>
      <c r="K121" s="42"/>
      <c r="L121" s="42"/>
      <c r="M121" s="42"/>
      <c r="N121" s="42"/>
      <c r="O121" s="375"/>
      <c r="P121" s="375"/>
      <c r="Q121" s="16"/>
      <c r="R121" s="375"/>
    </row>
    <row r="122" spans="1:18">
      <c r="A122" s="42"/>
      <c r="B122" s="42"/>
      <c r="C122" s="42"/>
      <c r="D122" s="42"/>
      <c r="E122" s="42"/>
      <c r="F122" s="42"/>
      <c r="G122" s="42"/>
      <c r="H122" s="42"/>
      <c r="I122" s="42"/>
      <c r="J122" s="42"/>
      <c r="K122" s="42"/>
      <c r="L122" s="42"/>
      <c r="M122" s="42"/>
      <c r="N122" s="42"/>
      <c r="O122" s="375"/>
      <c r="P122" s="375"/>
      <c r="Q122" s="375"/>
      <c r="R122" s="375"/>
    </row>
    <row r="123" spans="1:18">
      <c r="A123" s="42"/>
      <c r="B123" s="42"/>
      <c r="C123" s="42"/>
      <c r="D123" s="42"/>
      <c r="E123" s="42"/>
      <c r="F123" s="42"/>
      <c r="G123" s="42"/>
      <c r="H123" s="42"/>
      <c r="I123" s="42"/>
      <c r="J123" s="42"/>
      <c r="K123" s="42"/>
      <c r="L123" s="42"/>
      <c r="M123" s="42"/>
      <c r="N123" s="42"/>
      <c r="O123" s="375"/>
      <c r="P123" s="375"/>
      <c r="Q123" s="375"/>
      <c r="R123" s="375"/>
    </row>
    <row r="124" spans="1:18">
      <c r="A124" s="42"/>
      <c r="B124" s="42"/>
      <c r="C124" s="42"/>
      <c r="D124" s="42"/>
      <c r="E124" s="42"/>
      <c r="F124" s="42"/>
      <c r="G124" s="42"/>
      <c r="H124" s="42"/>
      <c r="I124" s="42"/>
      <c r="J124" s="42"/>
      <c r="K124" s="42"/>
      <c r="L124" s="42"/>
      <c r="M124" s="42"/>
      <c r="N124" s="42"/>
      <c r="O124" s="375"/>
      <c r="P124" s="375"/>
      <c r="Q124" s="375"/>
      <c r="R124" s="375"/>
    </row>
    <row r="125" spans="1:18">
      <c r="A125" s="84"/>
      <c r="B125" s="42"/>
      <c r="C125" s="42"/>
      <c r="D125" s="42"/>
      <c r="E125" s="42"/>
      <c r="F125" s="42"/>
      <c r="G125" s="42"/>
      <c r="H125" s="42"/>
      <c r="I125" s="42"/>
      <c r="J125" s="42"/>
      <c r="K125" s="42"/>
      <c r="L125" s="42"/>
      <c r="M125" s="42"/>
      <c r="N125" s="42"/>
      <c r="O125" s="375"/>
      <c r="P125" s="375"/>
      <c r="Q125" s="375"/>
      <c r="R125" s="375"/>
    </row>
    <row r="126" spans="1:18">
      <c r="A126" s="42"/>
      <c r="B126" s="42"/>
      <c r="C126" s="42"/>
      <c r="D126" s="42"/>
      <c r="E126" s="42"/>
      <c r="F126" s="42"/>
      <c r="G126" s="42"/>
      <c r="H126" s="42"/>
      <c r="I126" s="42"/>
      <c r="J126" s="42"/>
      <c r="K126" s="42"/>
      <c r="L126" s="42"/>
      <c r="M126" s="42"/>
      <c r="N126" s="42"/>
      <c r="O126" s="375"/>
      <c r="P126" s="375"/>
      <c r="Q126" s="375"/>
      <c r="R126" s="375"/>
    </row>
    <row r="127" spans="1:18">
      <c r="A127" s="42"/>
      <c r="B127" s="42"/>
      <c r="C127" s="42"/>
      <c r="D127" s="42"/>
      <c r="E127" s="42"/>
      <c r="F127" s="42"/>
      <c r="G127" s="42"/>
      <c r="H127" s="42"/>
      <c r="I127" s="42"/>
      <c r="J127" s="42"/>
      <c r="K127" s="42"/>
      <c r="L127" s="42"/>
      <c r="M127" s="42"/>
      <c r="N127" s="42"/>
      <c r="O127" s="375"/>
      <c r="P127" s="375"/>
      <c r="Q127" s="16"/>
      <c r="R127" s="375"/>
    </row>
    <row r="128" spans="1:18">
      <c r="A128" s="42"/>
      <c r="B128" s="42"/>
      <c r="C128" s="42"/>
      <c r="D128" s="42"/>
      <c r="E128" s="42"/>
      <c r="F128" s="42"/>
      <c r="G128" s="42"/>
      <c r="H128" s="42"/>
      <c r="I128" s="42"/>
      <c r="J128" s="42"/>
      <c r="K128" s="42"/>
      <c r="L128" s="42"/>
      <c r="M128" s="42"/>
      <c r="N128" s="42"/>
      <c r="O128" s="375"/>
      <c r="P128" s="375"/>
      <c r="Q128" s="375"/>
      <c r="R128" s="375"/>
    </row>
    <row r="129" spans="1:18">
      <c r="A129" s="42"/>
      <c r="B129" s="42"/>
      <c r="C129" s="42"/>
      <c r="D129" s="42"/>
      <c r="E129" s="42"/>
      <c r="F129" s="42"/>
      <c r="G129" s="42"/>
      <c r="H129" s="42"/>
      <c r="I129" s="42"/>
      <c r="J129" s="42"/>
      <c r="K129" s="42"/>
      <c r="L129" s="42"/>
      <c r="M129" s="42"/>
      <c r="N129" s="42"/>
      <c r="O129" s="375"/>
      <c r="P129" s="375"/>
      <c r="Q129" s="375"/>
      <c r="R129" s="375"/>
    </row>
    <row r="130" spans="1:18">
      <c r="A130" s="42"/>
      <c r="B130" s="42"/>
      <c r="C130" s="42"/>
      <c r="D130" s="42"/>
      <c r="E130" s="42"/>
      <c r="F130" s="42"/>
      <c r="G130" s="42"/>
      <c r="H130" s="42"/>
      <c r="I130" s="42"/>
      <c r="J130" s="42"/>
      <c r="K130" s="42"/>
      <c r="L130" s="42"/>
      <c r="M130" s="42"/>
      <c r="N130" s="42"/>
      <c r="O130" s="375"/>
      <c r="P130" s="375"/>
      <c r="Q130" s="375"/>
      <c r="R130" s="375"/>
    </row>
    <row r="131" spans="1:18">
      <c r="A131" s="84"/>
      <c r="B131" s="42"/>
      <c r="C131" s="42"/>
      <c r="D131" s="42"/>
      <c r="E131" s="42"/>
      <c r="F131" s="42"/>
      <c r="G131" s="42"/>
      <c r="H131" s="42"/>
      <c r="I131" s="42"/>
      <c r="J131" s="42"/>
      <c r="K131" s="42"/>
      <c r="L131" s="42"/>
      <c r="M131" s="42"/>
      <c r="N131" s="42"/>
      <c r="O131" s="375"/>
      <c r="P131" s="375"/>
      <c r="Q131" s="375"/>
      <c r="R131" s="375"/>
    </row>
    <row r="132" spans="1:18">
      <c r="A132" s="42"/>
      <c r="B132" s="42"/>
      <c r="C132" s="42"/>
      <c r="D132" s="42"/>
      <c r="E132" s="42"/>
      <c r="F132" s="42"/>
      <c r="G132" s="42"/>
      <c r="H132" s="42"/>
      <c r="I132" s="42"/>
      <c r="J132" s="42"/>
      <c r="K132" s="42"/>
      <c r="L132" s="42"/>
      <c r="M132" s="42"/>
      <c r="N132" s="42"/>
      <c r="O132" s="375"/>
      <c r="P132" s="375"/>
      <c r="Q132" s="375"/>
      <c r="R132" s="375"/>
    </row>
    <row r="133" spans="1:18">
      <c r="A133" s="42"/>
      <c r="B133" s="42"/>
      <c r="C133" s="42"/>
      <c r="D133" s="42"/>
      <c r="E133" s="42"/>
      <c r="F133" s="42"/>
      <c r="G133" s="42"/>
      <c r="H133" s="42"/>
      <c r="I133" s="42"/>
      <c r="J133" s="42"/>
      <c r="K133" s="42"/>
      <c r="L133" s="42"/>
      <c r="M133" s="42"/>
      <c r="N133" s="42"/>
      <c r="O133" s="375"/>
      <c r="P133" s="375"/>
      <c r="Q133" s="16"/>
      <c r="R133" s="375"/>
    </row>
    <row r="134" spans="1:18">
      <c r="A134" s="42"/>
      <c r="B134" s="42"/>
      <c r="C134" s="42"/>
      <c r="D134" s="42"/>
      <c r="E134" s="42"/>
      <c r="F134" s="42"/>
      <c r="G134" s="42"/>
      <c r="H134" s="42"/>
      <c r="I134" s="42"/>
      <c r="J134" s="42"/>
      <c r="K134" s="42"/>
      <c r="L134" s="42"/>
      <c r="M134" s="42"/>
      <c r="N134" s="42"/>
      <c r="O134" s="375"/>
      <c r="P134" s="375"/>
      <c r="Q134" s="375"/>
      <c r="R134" s="375"/>
    </row>
    <row r="135" spans="1:18">
      <c r="A135" s="42"/>
      <c r="B135" s="42"/>
      <c r="C135" s="42"/>
      <c r="D135" s="42"/>
      <c r="E135" s="42"/>
      <c r="F135" s="42"/>
      <c r="G135" s="42"/>
      <c r="H135" s="42"/>
      <c r="I135" s="42"/>
      <c r="J135" s="42"/>
      <c r="K135" s="42"/>
      <c r="L135" s="42"/>
      <c r="M135" s="42"/>
      <c r="N135" s="42"/>
      <c r="O135" s="375"/>
      <c r="P135" s="375"/>
      <c r="Q135" s="375"/>
      <c r="R135" s="375"/>
    </row>
    <row r="136" spans="1:18">
      <c r="A136" s="42"/>
      <c r="B136" s="42"/>
      <c r="C136" s="42"/>
      <c r="D136" s="42"/>
      <c r="E136" s="42"/>
      <c r="F136" s="42"/>
      <c r="G136" s="42"/>
      <c r="H136" s="42"/>
      <c r="I136" s="42"/>
      <c r="J136" s="42"/>
      <c r="K136" s="42"/>
      <c r="L136" s="42"/>
      <c r="M136" s="42"/>
      <c r="N136" s="42"/>
      <c r="O136" s="375"/>
      <c r="P136" s="375"/>
      <c r="Q136" s="375"/>
      <c r="R136" s="375"/>
    </row>
    <row r="137" spans="1:18">
      <c r="A137" s="84"/>
      <c r="B137" s="42"/>
      <c r="C137" s="42"/>
      <c r="D137" s="42"/>
      <c r="E137" s="42"/>
      <c r="F137" s="42"/>
      <c r="G137" s="42"/>
      <c r="H137" s="42"/>
      <c r="I137" s="42"/>
      <c r="J137" s="42"/>
      <c r="K137" s="42"/>
      <c r="L137" s="42"/>
      <c r="M137" s="42"/>
      <c r="N137" s="42"/>
      <c r="O137" s="375"/>
      <c r="P137" s="375"/>
      <c r="Q137" s="375"/>
      <c r="R137" s="375"/>
    </row>
    <row r="138" spans="1:18">
      <c r="A138" s="42"/>
      <c r="B138" s="42"/>
      <c r="C138" s="42"/>
      <c r="D138" s="42"/>
      <c r="E138" s="42"/>
      <c r="F138" s="42"/>
      <c r="G138" s="42"/>
      <c r="H138" s="42"/>
      <c r="I138" s="42"/>
      <c r="J138" s="42"/>
      <c r="K138" s="42"/>
      <c r="L138" s="42"/>
      <c r="M138" s="42"/>
      <c r="N138" s="42"/>
      <c r="O138" s="375"/>
      <c r="P138" s="375"/>
      <c r="Q138" s="375"/>
      <c r="R138" s="375"/>
    </row>
    <row r="139" spans="1:18">
      <c r="A139" s="42"/>
      <c r="B139" s="42"/>
      <c r="C139" s="42"/>
      <c r="D139" s="42"/>
      <c r="E139" s="42"/>
      <c r="F139" s="42"/>
      <c r="G139" s="42"/>
      <c r="H139" s="42"/>
      <c r="I139" s="42"/>
      <c r="J139" s="42"/>
      <c r="K139" s="42"/>
      <c r="L139" s="42"/>
      <c r="M139" s="42"/>
      <c r="N139" s="42"/>
      <c r="O139" s="375"/>
      <c r="P139" s="375"/>
      <c r="Q139" s="16"/>
      <c r="R139" s="375"/>
    </row>
    <row r="140" spans="1:18">
      <c r="A140" s="42"/>
      <c r="B140" s="42"/>
      <c r="C140" s="42"/>
      <c r="D140" s="42"/>
      <c r="E140" s="42"/>
      <c r="F140" s="42"/>
      <c r="G140" s="42"/>
      <c r="H140" s="42"/>
      <c r="I140" s="42"/>
      <c r="J140" s="42"/>
      <c r="K140" s="42"/>
      <c r="L140" s="42"/>
      <c r="M140" s="42"/>
      <c r="N140" s="42"/>
      <c r="O140" s="375"/>
      <c r="P140" s="375"/>
      <c r="Q140" s="375"/>
      <c r="R140" s="375"/>
    </row>
    <row r="141" spans="1:18">
      <c r="A141" s="42"/>
      <c r="B141" s="42"/>
      <c r="C141" s="42"/>
      <c r="D141" s="42"/>
      <c r="E141" s="42"/>
      <c r="F141" s="42"/>
      <c r="G141" s="42"/>
      <c r="H141" s="42"/>
      <c r="I141" s="42"/>
      <c r="J141" s="42"/>
      <c r="K141" s="42"/>
      <c r="L141" s="42"/>
      <c r="M141" s="42"/>
      <c r="N141" s="42"/>
      <c r="O141" s="375"/>
      <c r="P141" s="375"/>
      <c r="Q141" s="375"/>
      <c r="R141" s="375"/>
    </row>
    <row r="142" spans="1:18">
      <c r="A142" s="41"/>
      <c r="B142" s="41"/>
      <c r="C142" s="41"/>
      <c r="D142" s="41"/>
      <c r="E142" s="41"/>
      <c r="F142" s="41"/>
      <c r="G142" s="41"/>
      <c r="H142" s="41"/>
      <c r="I142" s="41"/>
      <c r="J142" s="41"/>
      <c r="K142" s="41"/>
      <c r="L142" s="41"/>
      <c r="M142" s="41"/>
      <c r="N142" s="41"/>
      <c r="O142" s="16"/>
      <c r="P142" s="16"/>
      <c r="Q142" s="16"/>
      <c r="R142" s="16"/>
    </row>
    <row r="143" spans="1:18">
      <c r="A143" s="84"/>
      <c r="B143" s="42"/>
      <c r="C143" s="42"/>
      <c r="D143" s="42"/>
      <c r="E143" s="42"/>
      <c r="F143" s="42"/>
      <c r="G143" s="42"/>
      <c r="H143" s="42"/>
      <c r="I143" s="42"/>
      <c r="J143" s="42"/>
      <c r="K143" s="42"/>
      <c r="L143" s="42"/>
      <c r="M143" s="42"/>
      <c r="N143" s="42"/>
      <c r="O143" s="375"/>
      <c r="P143" s="375"/>
      <c r="Q143" s="375"/>
      <c r="R143" s="16"/>
    </row>
    <row r="144" spans="1:18">
      <c r="A144" s="42"/>
      <c r="B144" s="42"/>
      <c r="C144" s="42"/>
      <c r="D144" s="42"/>
      <c r="E144" s="42"/>
      <c r="F144" s="42"/>
      <c r="G144" s="42"/>
      <c r="H144" s="42"/>
      <c r="I144" s="42"/>
      <c r="J144" s="42"/>
      <c r="K144" s="42"/>
      <c r="L144" s="42"/>
      <c r="M144" s="42"/>
      <c r="N144" s="42"/>
      <c r="O144" s="375"/>
      <c r="P144" s="375"/>
      <c r="Q144" s="375"/>
      <c r="R144" s="16"/>
    </row>
    <row r="145" spans="1:18">
      <c r="A145" s="42"/>
      <c r="B145" s="42"/>
      <c r="C145" s="42"/>
      <c r="D145" s="42"/>
      <c r="E145" s="42"/>
      <c r="F145" s="42"/>
      <c r="G145" s="42"/>
      <c r="H145" s="42"/>
      <c r="I145" s="42"/>
      <c r="J145" s="42"/>
      <c r="K145" s="42"/>
      <c r="L145" s="42"/>
      <c r="M145" s="42"/>
      <c r="N145" s="42"/>
      <c r="O145" s="375"/>
      <c r="P145" s="375"/>
      <c r="Q145" s="16"/>
      <c r="R145" s="375"/>
    </row>
    <row r="146" spans="1:18">
      <c r="A146" s="42"/>
      <c r="B146" s="42"/>
      <c r="C146" s="42"/>
      <c r="D146" s="42"/>
      <c r="E146" s="42"/>
      <c r="F146" s="42"/>
      <c r="G146" s="42"/>
      <c r="H146" s="42"/>
      <c r="I146" s="42"/>
      <c r="J146" s="42"/>
      <c r="K146" s="42"/>
      <c r="L146" s="42"/>
      <c r="M146" s="42"/>
      <c r="N146" s="42"/>
      <c r="O146" s="375"/>
      <c r="P146" s="375"/>
      <c r="Q146" s="375"/>
      <c r="R146" s="16"/>
    </row>
    <row r="147" spans="1:18">
      <c r="A147" s="42"/>
      <c r="B147" s="42"/>
      <c r="C147" s="42"/>
      <c r="D147" s="42"/>
      <c r="E147" s="42"/>
      <c r="F147" s="42"/>
      <c r="G147" s="42"/>
      <c r="H147" s="42"/>
      <c r="I147" s="42"/>
      <c r="J147" s="42"/>
      <c r="K147" s="42"/>
      <c r="L147" s="42"/>
      <c r="M147" s="42"/>
      <c r="N147" s="42"/>
      <c r="O147" s="375"/>
      <c r="P147" s="375"/>
      <c r="Q147" s="375"/>
      <c r="R147" s="16"/>
    </row>
    <row r="148" spans="1:18">
      <c r="A148" s="42"/>
      <c r="B148" s="42"/>
      <c r="C148" s="42"/>
      <c r="D148" s="42"/>
      <c r="E148" s="42"/>
      <c r="F148" s="42"/>
      <c r="G148" s="42"/>
      <c r="H148" s="42"/>
      <c r="I148" s="42"/>
      <c r="J148" s="42"/>
      <c r="K148" s="42"/>
      <c r="L148" s="42"/>
      <c r="M148" s="42"/>
      <c r="N148" s="42"/>
      <c r="O148" s="375"/>
      <c r="P148" s="375"/>
      <c r="Q148" s="375"/>
      <c r="R148" s="16"/>
    </row>
    <row r="149" spans="1:18">
      <c r="A149" s="84"/>
      <c r="B149" s="42"/>
      <c r="C149" s="42"/>
      <c r="D149" s="42"/>
      <c r="E149" s="42"/>
      <c r="F149" s="42"/>
      <c r="G149" s="42"/>
      <c r="H149" s="42"/>
      <c r="I149" s="42"/>
      <c r="J149" s="42"/>
      <c r="K149" s="42"/>
      <c r="L149" s="42"/>
      <c r="M149" s="42"/>
      <c r="N149" s="42"/>
      <c r="O149" s="375"/>
      <c r="P149" s="375"/>
      <c r="Q149" s="375"/>
      <c r="R149" s="16"/>
    </row>
    <row r="150" spans="1:18">
      <c r="A150" s="42"/>
      <c r="B150" s="42"/>
      <c r="C150" s="42"/>
      <c r="D150" s="42"/>
      <c r="E150" s="42"/>
      <c r="F150" s="42"/>
      <c r="G150" s="42"/>
      <c r="H150" s="42"/>
      <c r="I150" s="42"/>
      <c r="J150" s="42"/>
      <c r="K150" s="42"/>
      <c r="L150" s="42"/>
      <c r="M150" s="42"/>
      <c r="N150" s="42"/>
      <c r="O150" s="375"/>
      <c r="P150" s="375"/>
      <c r="Q150" s="375"/>
      <c r="R150" s="16"/>
    </row>
    <row r="151" spans="1:18">
      <c r="A151" s="42"/>
      <c r="B151" s="42"/>
      <c r="C151" s="42"/>
      <c r="D151" s="42"/>
      <c r="E151" s="42"/>
      <c r="F151" s="42"/>
      <c r="G151" s="42"/>
      <c r="H151" s="42"/>
      <c r="I151" s="42"/>
      <c r="J151" s="42"/>
      <c r="K151" s="42"/>
      <c r="L151" s="42"/>
      <c r="M151" s="42"/>
      <c r="N151" s="42"/>
      <c r="O151" s="375"/>
      <c r="P151" s="375"/>
      <c r="Q151" s="16"/>
      <c r="R151" s="375"/>
    </row>
    <row r="152" spans="1:18">
      <c r="A152" s="42"/>
      <c r="B152" s="42"/>
      <c r="C152" s="42"/>
      <c r="D152" s="42"/>
      <c r="E152" s="42"/>
      <c r="F152" s="42"/>
      <c r="G152" s="42"/>
      <c r="H152" s="42"/>
      <c r="I152" s="42"/>
      <c r="J152" s="42"/>
      <c r="K152" s="42"/>
      <c r="L152" s="42"/>
      <c r="M152" s="42"/>
      <c r="N152" s="42"/>
      <c r="O152" s="375"/>
      <c r="P152" s="375"/>
      <c r="Q152" s="375"/>
      <c r="R152" s="16"/>
    </row>
    <row r="153" spans="1:18">
      <c r="A153" s="84"/>
      <c r="B153" s="42"/>
      <c r="C153" s="42"/>
      <c r="D153" s="42"/>
      <c r="E153" s="42"/>
      <c r="F153" s="42"/>
      <c r="G153" s="42"/>
      <c r="H153" s="42"/>
      <c r="I153" s="42"/>
      <c r="J153" s="42"/>
      <c r="K153" s="42"/>
      <c r="L153" s="42"/>
      <c r="M153" s="42"/>
      <c r="N153" s="42"/>
      <c r="O153" s="375"/>
      <c r="P153" s="375"/>
      <c r="Q153" s="375"/>
      <c r="R153" s="16"/>
    </row>
    <row r="154" spans="1:18">
      <c r="A154" s="42"/>
      <c r="B154" s="42"/>
      <c r="C154" s="42"/>
      <c r="D154" s="42"/>
      <c r="E154" s="42"/>
      <c r="F154" s="42"/>
      <c r="G154" s="42"/>
      <c r="H154" s="42"/>
      <c r="I154" s="42"/>
      <c r="J154" s="42"/>
      <c r="K154" s="42"/>
      <c r="L154" s="42"/>
      <c r="M154" s="42"/>
      <c r="N154" s="42"/>
      <c r="O154" s="375"/>
      <c r="P154" s="375"/>
      <c r="Q154" s="375"/>
      <c r="R154" s="16"/>
    </row>
    <row r="155" spans="1:18">
      <c r="A155" s="84"/>
      <c r="B155" s="42"/>
      <c r="C155" s="42"/>
      <c r="D155" s="42"/>
      <c r="E155" s="42"/>
      <c r="F155" s="42"/>
      <c r="G155" s="42"/>
      <c r="H155" s="42"/>
      <c r="I155" s="42"/>
      <c r="J155" s="42"/>
      <c r="K155" s="42"/>
      <c r="L155" s="42"/>
      <c r="M155" s="42"/>
      <c r="N155" s="42"/>
      <c r="O155" s="375"/>
      <c r="P155" s="375"/>
      <c r="Q155" s="375"/>
      <c r="R155" s="16"/>
    </row>
    <row r="156" spans="1:18">
      <c r="A156" s="42"/>
      <c r="B156" s="42"/>
      <c r="C156" s="42"/>
      <c r="D156" s="42"/>
      <c r="E156" s="42"/>
      <c r="F156" s="42"/>
      <c r="G156" s="42"/>
      <c r="H156" s="42"/>
      <c r="I156" s="42"/>
      <c r="J156" s="42"/>
      <c r="K156" s="42"/>
      <c r="L156" s="42"/>
      <c r="M156" s="42"/>
      <c r="N156" s="42"/>
      <c r="O156" s="375"/>
      <c r="P156" s="375"/>
      <c r="Q156" s="375"/>
      <c r="R156" s="16"/>
    </row>
    <row r="157" spans="1:18">
      <c r="A157" s="42"/>
      <c r="B157" s="42"/>
      <c r="C157" s="42"/>
      <c r="D157" s="42"/>
      <c r="E157" s="42"/>
      <c r="F157" s="42"/>
      <c r="G157" s="42"/>
      <c r="H157" s="42"/>
      <c r="I157" s="42"/>
      <c r="J157" s="42"/>
      <c r="K157" s="42"/>
      <c r="L157" s="42"/>
      <c r="M157" s="42"/>
      <c r="N157" s="42"/>
      <c r="O157" s="375"/>
      <c r="P157" s="375"/>
      <c r="Q157" s="16"/>
      <c r="R157" s="375"/>
    </row>
    <row r="158" spans="1:18">
      <c r="A158" s="42"/>
      <c r="B158" s="42"/>
      <c r="C158" s="42"/>
      <c r="D158" s="42"/>
      <c r="E158" s="42"/>
      <c r="F158" s="42"/>
      <c r="G158" s="42"/>
      <c r="H158" s="42"/>
      <c r="I158" s="42"/>
      <c r="J158" s="42"/>
      <c r="K158" s="42"/>
      <c r="L158" s="42"/>
      <c r="M158" s="42"/>
      <c r="N158" s="42"/>
      <c r="O158" s="375"/>
      <c r="P158" s="375"/>
      <c r="Q158" s="375"/>
      <c r="R158" s="16"/>
    </row>
    <row r="159" spans="1:18">
      <c r="A159" s="42"/>
      <c r="B159" s="42"/>
      <c r="C159" s="42"/>
      <c r="D159" s="42"/>
      <c r="E159" s="42"/>
      <c r="F159" s="42"/>
      <c r="G159" s="42"/>
      <c r="H159" s="42"/>
      <c r="I159" s="42"/>
      <c r="J159" s="42"/>
      <c r="K159" s="42"/>
      <c r="L159" s="42"/>
      <c r="M159" s="42"/>
      <c r="N159" s="42"/>
      <c r="O159" s="375"/>
      <c r="P159" s="375"/>
      <c r="Q159" s="375"/>
      <c r="R159" s="16"/>
    </row>
    <row r="160" spans="1:18">
      <c r="A160" s="42"/>
      <c r="B160" s="42"/>
      <c r="C160" s="42"/>
      <c r="D160" s="42"/>
      <c r="E160" s="42"/>
      <c r="F160" s="42"/>
      <c r="G160" s="42"/>
      <c r="H160" s="42"/>
      <c r="I160" s="42"/>
      <c r="J160" s="42"/>
      <c r="K160" s="42"/>
      <c r="L160" s="42"/>
      <c r="M160" s="42"/>
      <c r="N160" s="42"/>
      <c r="O160" s="375"/>
      <c r="P160" s="375"/>
      <c r="Q160" s="375"/>
      <c r="R160" s="16"/>
    </row>
    <row r="161" spans="1:18">
      <c r="A161" s="84"/>
      <c r="B161" s="42"/>
      <c r="C161" s="42"/>
      <c r="D161" s="42"/>
      <c r="E161" s="42"/>
      <c r="F161" s="42"/>
      <c r="G161" s="42"/>
      <c r="H161" s="42"/>
      <c r="I161" s="42"/>
      <c r="J161" s="42"/>
      <c r="K161" s="42"/>
      <c r="L161" s="42"/>
      <c r="M161" s="42"/>
      <c r="N161" s="42"/>
      <c r="O161" s="375"/>
      <c r="P161" s="375"/>
      <c r="Q161" s="375"/>
      <c r="R161" s="16"/>
    </row>
    <row r="162" spans="1:18">
      <c r="A162" s="42"/>
      <c r="B162" s="42"/>
      <c r="C162" s="42"/>
      <c r="D162" s="42"/>
      <c r="E162" s="42"/>
      <c r="F162" s="42"/>
      <c r="G162" s="42"/>
      <c r="H162" s="42"/>
      <c r="I162" s="42"/>
      <c r="J162" s="42"/>
      <c r="K162" s="42"/>
      <c r="L162" s="42"/>
      <c r="M162" s="42"/>
      <c r="N162" s="42"/>
      <c r="O162" s="375"/>
      <c r="P162" s="375"/>
      <c r="Q162" s="375"/>
      <c r="R162" s="16"/>
    </row>
    <row r="163" spans="1:18">
      <c r="A163" s="42"/>
      <c r="B163" s="42"/>
      <c r="C163" s="42"/>
      <c r="D163" s="42"/>
      <c r="E163" s="42"/>
      <c r="F163" s="42"/>
      <c r="G163" s="42"/>
      <c r="H163" s="42"/>
      <c r="I163" s="42"/>
      <c r="J163" s="42"/>
      <c r="K163" s="42"/>
      <c r="L163" s="42"/>
      <c r="M163" s="42"/>
      <c r="N163" s="42"/>
      <c r="O163" s="375"/>
      <c r="P163" s="375"/>
      <c r="Q163" s="16"/>
      <c r="R163" s="375"/>
    </row>
    <row r="164" spans="1:18">
      <c r="A164" s="42"/>
      <c r="B164" s="42"/>
      <c r="C164" s="42"/>
      <c r="D164" s="42"/>
      <c r="E164" s="42"/>
      <c r="F164" s="42"/>
      <c r="G164" s="42"/>
      <c r="H164" s="42"/>
      <c r="I164" s="42"/>
      <c r="J164" s="42"/>
      <c r="K164" s="42"/>
      <c r="L164" s="42"/>
      <c r="M164" s="42"/>
      <c r="N164" s="42"/>
      <c r="O164" s="375"/>
      <c r="P164" s="375"/>
      <c r="Q164" s="375"/>
      <c r="R164" s="16"/>
    </row>
    <row r="165" spans="1:18">
      <c r="A165" s="42"/>
      <c r="B165" s="42"/>
      <c r="C165" s="42"/>
      <c r="D165" s="42"/>
      <c r="E165" s="42"/>
      <c r="F165" s="42"/>
      <c r="G165" s="42"/>
      <c r="H165" s="42"/>
      <c r="I165" s="42"/>
      <c r="J165" s="42"/>
      <c r="K165" s="42"/>
      <c r="L165" s="42"/>
      <c r="M165" s="42"/>
      <c r="N165" s="42"/>
      <c r="O165" s="375"/>
      <c r="P165" s="375"/>
      <c r="Q165" s="375"/>
      <c r="R165" s="16"/>
    </row>
    <row r="166" spans="1:18">
      <c r="A166" s="42"/>
      <c r="B166" s="42"/>
      <c r="C166" s="42"/>
      <c r="D166" s="42"/>
      <c r="E166" s="42"/>
      <c r="F166" s="42"/>
      <c r="G166" s="42"/>
      <c r="H166" s="42"/>
      <c r="I166" s="42"/>
      <c r="J166" s="42"/>
      <c r="K166" s="42"/>
      <c r="L166" s="42"/>
      <c r="M166" s="42"/>
      <c r="N166" s="42"/>
      <c r="O166" s="375"/>
      <c r="P166" s="375"/>
      <c r="Q166" s="375"/>
      <c r="R166" s="16"/>
    </row>
    <row r="167" spans="1:18">
      <c r="A167" s="84"/>
      <c r="B167" s="42"/>
      <c r="C167" s="42"/>
      <c r="D167" s="42"/>
      <c r="E167" s="42"/>
      <c r="F167" s="42"/>
      <c r="G167" s="42"/>
      <c r="H167" s="42"/>
      <c r="I167" s="42"/>
      <c r="J167" s="42"/>
      <c r="K167" s="42"/>
      <c r="L167" s="42"/>
      <c r="M167" s="42"/>
      <c r="N167" s="42"/>
      <c r="O167" s="375"/>
      <c r="P167" s="375"/>
      <c r="Q167" s="375"/>
      <c r="R167" s="16"/>
    </row>
    <row r="168" spans="1:18">
      <c r="A168" s="42"/>
      <c r="B168" s="42"/>
      <c r="C168" s="42"/>
      <c r="D168" s="42"/>
      <c r="E168" s="42"/>
      <c r="F168" s="42"/>
      <c r="G168" s="42"/>
      <c r="H168" s="42"/>
      <c r="I168" s="42"/>
      <c r="J168" s="42"/>
      <c r="K168" s="42"/>
      <c r="L168" s="42"/>
      <c r="M168" s="42"/>
      <c r="N168" s="42"/>
      <c r="O168" s="375"/>
      <c r="P168" s="375"/>
      <c r="Q168" s="375"/>
      <c r="R168" s="16"/>
    </row>
    <row r="169" spans="1:18">
      <c r="A169" s="42"/>
      <c r="B169" s="42"/>
      <c r="C169" s="42"/>
      <c r="D169" s="42"/>
      <c r="E169" s="42"/>
      <c r="F169" s="42"/>
      <c r="G169" s="42"/>
      <c r="H169" s="42"/>
      <c r="I169" s="42"/>
      <c r="J169" s="42"/>
      <c r="K169" s="42"/>
      <c r="L169" s="42"/>
      <c r="M169" s="42"/>
      <c r="N169" s="42"/>
      <c r="O169" s="375"/>
      <c r="P169" s="375"/>
      <c r="Q169" s="16"/>
      <c r="R169" s="375"/>
    </row>
    <row r="170" spans="1:18">
      <c r="A170" s="42"/>
      <c r="B170" s="42"/>
      <c r="C170" s="42"/>
      <c r="D170" s="42"/>
      <c r="E170" s="42"/>
      <c r="F170" s="42"/>
      <c r="G170" s="42"/>
      <c r="H170" s="42"/>
      <c r="I170" s="42"/>
      <c r="J170" s="42"/>
      <c r="K170" s="42"/>
      <c r="L170" s="42"/>
      <c r="M170" s="42"/>
      <c r="N170" s="42"/>
      <c r="O170" s="375"/>
      <c r="P170" s="375"/>
      <c r="Q170" s="375"/>
      <c r="R170" s="16"/>
    </row>
    <row r="171" spans="1:18">
      <c r="A171" s="42"/>
      <c r="B171" s="42"/>
      <c r="C171" s="42"/>
      <c r="D171" s="42"/>
      <c r="E171" s="42"/>
      <c r="F171" s="42"/>
      <c r="G171" s="42"/>
      <c r="H171" s="42"/>
      <c r="I171" s="42"/>
      <c r="J171" s="42"/>
      <c r="K171" s="42"/>
      <c r="L171" s="42"/>
      <c r="M171" s="42"/>
      <c r="N171" s="42"/>
      <c r="O171" s="375"/>
      <c r="P171" s="375"/>
      <c r="Q171" s="375"/>
      <c r="R171" s="16"/>
    </row>
    <row r="172" spans="1:18">
      <c r="A172" s="42"/>
      <c r="B172" s="42"/>
      <c r="C172" s="42"/>
      <c r="D172" s="42"/>
      <c r="E172" s="42"/>
      <c r="F172" s="42"/>
      <c r="G172" s="42"/>
      <c r="H172" s="42"/>
      <c r="I172" s="42"/>
      <c r="J172" s="42"/>
      <c r="K172" s="42"/>
      <c r="L172" s="42"/>
      <c r="M172" s="42"/>
      <c r="N172" s="42"/>
      <c r="O172" s="375"/>
      <c r="P172" s="375"/>
      <c r="Q172" s="375"/>
      <c r="R172" s="16"/>
    </row>
    <row r="173" spans="1:18">
      <c r="A173" s="84"/>
      <c r="B173" s="42"/>
      <c r="C173" s="42"/>
      <c r="D173" s="42"/>
      <c r="E173" s="42"/>
      <c r="F173" s="42"/>
      <c r="G173" s="42"/>
      <c r="H173" s="42"/>
      <c r="I173" s="42"/>
      <c r="J173" s="42"/>
      <c r="K173" s="42"/>
      <c r="L173" s="42"/>
      <c r="M173" s="42"/>
      <c r="N173" s="42"/>
      <c r="O173" s="375"/>
      <c r="P173" s="375"/>
      <c r="Q173" s="375"/>
      <c r="R173" s="16"/>
    </row>
    <row r="174" spans="1:18">
      <c r="A174" s="42"/>
      <c r="B174" s="42"/>
      <c r="C174" s="42"/>
      <c r="D174" s="42"/>
      <c r="E174" s="42"/>
      <c r="F174" s="42"/>
      <c r="G174" s="42"/>
      <c r="H174" s="42"/>
      <c r="I174" s="42"/>
      <c r="J174" s="42"/>
      <c r="K174" s="42"/>
      <c r="L174" s="42"/>
      <c r="M174" s="42"/>
      <c r="N174" s="42"/>
      <c r="O174" s="375"/>
      <c r="P174" s="375"/>
      <c r="Q174" s="375"/>
      <c r="R174" s="16"/>
    </row>
    <row r="175" spans="1:18">
      <c r="A175" s="42"/>
      <c r="B175" s="42"/>
      <c r="C175" s="42"/>
      <c r="D175" s="42"/>
      <c r="E175" s="42"/>
      <c r="F175" s="42"/>
      <c r="G175" s="42"/>
      <c r="H175" s="42"/>
      <c r="I175" s="42"/>
      <c r="J175" s="42"/>
      <c r="K175" s="42"/>
      <c r="L175" s="42"/>
      <c r="M175" s="42"/>
      <c r="N175" s="42"/>
      <c r="O175" s="375"/>
      <c r="P175" s="375"/>
      <c r="Q175" s="16"/>
      <c r="R175" s="375"/>
    </row>
    <row r="176" spans="1:18">
      <c r="A176" s="42"/>
      <c r="B176" s="42"/>
      <c r="C176" s="42"/>
      <c r="D176" s="42"/>
      <c r="E176" s="42"/>
      <c r="F176" s="42"/>
      <c r="G176" s="42"/>
      <c r="H176" s="42"/>
      <c r="I176" s="42"/>
      <c r="J176" s="42"/>
      <c r="K176" s="42"/>
      <c r="L176" s="42"/>
      <c r="M176" s="42"/>
      <c r="N176" s="42"/>
      <c r="O176" s="375"/>
      <c r="P176" s="375"/>
      <c r="Q176" s="375"/>
      <c r="R176" s="16"/>
    </row>
    <row r="177" spans="1:18">
      <c r="A177" s="42"/>
      <c r="B177" s="42"/>
      <c r="C177" s="42"/>
      <c r="D177" s="42"/>
      <c r="E177" s="42"/>
      <c r="F177" s="42"/>
      <c r="G177" s="42"/>
      <c r="H177" s="42"/>
      <c r="I177" s="42"/>
      <c r="J177" s="42"/>
      <c r="K177" s="42"/>
      <c r="L177" s="42"/>
      <c r="M177" s="42"/>
      <c r="N177" s="42"/>
      <c r="O177" s="375"/>
      <c r="P177" s="375"/>
      <c r="Q177" s="375"/>
      <c r="R177" s="16"/>
    </row>
    <row r="178" spans="1:18">
      <c r="A178" s="42"/>
      <c r="B178" s="42"/>
      <c r="C178" s="42"/>
      <c r="D178" s="42"/>
      <c r="E178" s="42"/>
      <c r="F178" s="42"/>
      <c r="G178" s="42"/>
      <c r="H178" s="42"/>
      <c r="I178" s="42"/>
      <c r="J178" s="42"/>
      <c r="K178" s="42"/>
      <c r="L178" s="42"/>
      <c r="M178" s="42"/>
      <c r="N178" s="42"/>
      <c r="O178" s="375"/>
      <c r="P178" s="375"/>
      <c r="Q178" s="375"/>
      <c r="R178" s="16"/>
    </row>
    <row r="179" spans="1:18">
      <c r="A179" s="84"/>
      <c r="B179" s="42"/>
      <c r="C179" s="42"/>
      <c r="D179" s="42"/>
      <c r="E179" s="42"/>
      <c r="F179" s="42"/>
      <c r="G179" s="42"/>
      <c r="H179" s="42"/>
      <c r="I179" s="42"/>
      <c r="J179" s="42"/>
      <c r="K179" s="42"/>
      <c r="L179" s="42"/>
      <c r="M179" s="42"/>
      <c r="N179" s="42"/>
      <c r="O179" s="375"/>
      <c r="P179" s="375"/>
      <c r="Q179" s="375"/>
      <c r="R179" s="16"/>
    </row>
    <row r="180" spans="1:18">
      <c r="A180" s="42"/>
      <c r="B180" s="42"/>
      <c r="C180" s="42"/>
      <c r="D180" s="42"/>
      <c r="E180" s="42"/>
      <c r="F180" s="42"/>
      <c r="G180" s="42"/>
      <c r="H180" s="42"/>
      <c r="I180" s="42"/>
      <c r="J180" s="42"/>
      <c r="K180" s="42"/>
      <c r="L180" s="42"/>
      <c r="M180" s="42"/>
      <c r="N180" s="42"/>
      <c r="O180" s="375"/>
      <c r="P180" s="375"/>
      <c r="Q180" s="375"/>
      <c r="R180" s="16"/>
    </row>
    <row r="181" spans="1:18">
      <c r="A181" s="42"/>
      <c r="B181" s="42"/>
      <c r="C181" s="42"/>
      <c r="D181" s="42"/>
      <c r="E181" s="42"/>
      <c r="F181" s="42"/>
      <c r="G181" s="42"/>
      <c r="H181" s="42"/>
      <c r="I181" s="42"/>
      <c r="J181" s="42"/>
      <c r="K181" s="42"/>
      <c r="L181" s="42"/>
      <c r="M181" s="42"/>
      <c r="N181" s="42"/>
      <c r="O181" s="375"/>
      <c r="P181" s="375"/>
      <c r="Q181" s="16"/>
      <c r="R181" s="375"/>
    </row>
    <row r="182" spans="1:18">
      <c r="A182" s="42"/>
      <c r="B182" s="42"/>
      <c r="C182" s="42"/>
      <c r="D182" s="42"/>
      <c r="E182" s="42"/>
      <c r="F182" s="42"/>
      <c r="G182" s="42"/>
      <c r="H182" s="42"/>
      <c r="I182" s="42"/>
      <c r="J182" s="42"/>
      <c r="K182" s="42"/>
      <c r="L182" s="42"/>
      <c r="M182" s="42"/>
      <c r="N182" s="42"/>
      <c r="O182" s="375"/>
      <c r="P182" s="375"/>
      <c r="Q182" s="375"/>
      <c r="R182" s="16"/>
    </row>
    <row r="183" spans="1:18">
      <c r="A183" s="42"/>
      <c r="B183" s="42"/>
      <c r="C183" s="42"/>
      <c r="D183" s="42"/>
      <c r="E183" s="42"/>
      <c r="F183" s="42"/>
      <c r="G183" s="42"/>
      <c r="H183" s="42"/>
      <c r="I183" s="42"/>
      <c r="J183" s="42"/>
      <c r="K183" s="42"/>
      <c r="L183" s="42"/>
      <c r="M183" s="42"/>
      <c r="N183" s="42"/>
      <c r="O183" s="375"/>
      <c r="P183" s="375"/>
      <c r="Q183" s="375"/>
      <c r="R183" s="16"/>
    </row>
    <row r="184" spans="1:18">
      <c r="A184" s="42"/>
      <c r="B184" s="42"/>
      <c r="C184" s="42"/>
      <c r="D184" s="42"/>
      <c r="E184" s="42"/>
      <c r="F184" s="42"/>
      <c r="G184" s="42"/>
      <c r="H184" s="42"/>
      <c r="I184" s="42"/>
      <c r="J184" s="42"/>
      <c r="K184" s="42"/>
      <c r="L184" s="42"/>
      <c r="M184" s="42"/>
      <c r="N184" s="42"/>
      <c r="O184" s="375"/>
      <c r="P184" s="375"/>
      <c r="Q184" s="375"/>
      <c r="R184" s="16"/>
    </row>
    <row r="185" spans="1:18">
      <c r="A185" s="84"/>
      <c r="B185" s="42"/>
      <c r="C185" s="42"/>
      <c r="D185" s="42"/>
      <c r="E185" s="42"/>
      <c r="F185" s="42"/>
      <c r="G185" s="42"/>
      <c r="H185" s="42"/>
      <c r="I185" s="42"/>
      <c r="J185" s="42"/>
      <c r="K185" s="42"/>
      <c r="L185" s="42"/>
      <c r="M185" s="42"/>
      <c r="N185" s="42"/>
      <c r="O185" s="375"/>
      <c r="P185" s="375"/>
      <c r="Q185" s="375"/>
      <c r="R185" s="16"/>
    </row>
    <row r="186" spans="1:18">
      <c r="A186" s="42"/>
      <c r="B186" s="42"/>
      <c r="C186" s="42"/>
      <c r="D186" s="42"/>
      <c r="E186" s="42"/>
      <c r="F186" s="42"/>
      <c r="G186" s="42"/>
      <c r="H186" s="42"/>
      <c r="I186" s="42"/>
      <c r="J186" s="42"/>
      <c r="K186" s="42"/>
      <c r="L186" s="42"/>
      <c r="M186" s="42"/>
      <c r="N186" s="42"/>
      <c r="O186" s="375"/>
      <c r="P186" s="375"/>
      <c r="Q186" s="375"/>
      <c r="R186" s="16"/>
    </row>
    <row r="187" spans="1:18">
      <c r="A187" s="42"/>
      <c r="B187" s="42"/>
      <c r="C187" s="42"/>
      <c r="D187" s="42"/>
      <c r="E187" s="42"/>
      <c r="F187" s="42"/>
      <c r="G187" s="42"/>
      <c r="H187" s="42"/>
      <c r="I187" s="42"/>
      <c r="J187" s="42"/>
      <c r="K187" s="42"/>
      <c r="L187" s="42"/>
      <c r="M187" s="42"/>
      <c r="N187" s="42"/>
      <c r="O187" s="375"/>
      <c r="P187" s="375"/>
      <c r="Q187" s="16"/>
      <c r="R187" s="375"/>
    </row>
    <row r="188" spans="1:18">
      <c r="A188" s="42"/>
      <c r="B188" s="42"/>
      <c r="C188" s="42"/>
      <c r="D188" s="42"/>
      <c r="E188" s="42"/>
      <c r="F188" s="42"/>
      <c r="G188" s="42"/>
      <c r="H188" s="42"/>
      <c r="I188" s="42"/>
      <c r="J188" s="42"/>
      <c r="K188" s="42"/>
      <c r="L188" s="42"/>
      <c r="M188" s="42"/>
      <c r="N188" s="42"/>
      <c r="O188" s="375"/>
      <c r="P188" s="375"/>
      <c r="Q188" s="375"/>
      <c r="R188" s="16"/>
    </row>
    <row r="189" spans="1:18">
      <c r="A189" s="42"/>
      <c r="B189" s="42"/>
      <c r="C189" s="42"/>
      <c r="D189" s="42"/>
      <c r="E189" s="42"/>
      <c r="F189" s="42"/>
      <c r="G189" s="42"/>
      <c r="H189" s="42"/>
      <c r="I189" s="42"/>
      <c r="J189" s="42"/>
      <c r="K189" s="42"/>
      <c r="L189" s="42"/>
      <c r="M189" s="42"/>
      <c r="N189" s="42"/>
      <c r="O189" s="375"/>
      <c r="P189" s="375"/>
      <c r="Q189" s="375"/>
      <c r="R189" s="16"/>
    </row>
    <row r="190" spans="1:18">
      <c r="A190" s="42"/>
      <c r="B190" s="42"/>
      <c r="C190" s="42"/>
      <c r="D190" s="42"/>
      <c r="E190" s="42"/>
      <c r="F190" s="42"/>
      <c r="G190" s="42"/>
      <c r="H190" s="42"/>
      <c r="I190" s="42"/>
      <c r="J190" s="42"/>
      <c r="K190" s="42"/>
      <c r="L190" s="42"/>
      <c r="M190" s="42"/>
      <c r="N190" s="42"/>
      <c r="O190" s="375"/>
      <c r="P190" s="375"/>
      <c r="Q190" s="375"/>
      <c r="R190" s="16"/>
    </row>
    <row r="191" spans="1:18">
      <c r="A191" s="84"/>
      <c r="B191" s="42"/>
      <c r="C191" s="42"/>
      <c r="D191" s="42"/>
      <c r="E191" s="42"/>
      <c r="F191" s="42"/>
      <c r="G191" s="42"/>
      <c r="H191" s="42"/>
      <c r="I191" s="42"/>
      <c r="J191" s="42"/>
      <c r="K191" s="42"/>
      <c r="L191" s="42"/>
      <c r="M191" s="42"/>
      <c r="N191" s="42"/>
      <c r="O191" s="375"/>
      <c r="P191" s="375"/>
      <c r="Q191" s="375"/>
      <c r="R191" s="16"/>
    </row>
    <row r="192" spans="1:18">
      <c r="A192" s="42"/>
      <c r="B192" s="42"/>
      <c r="C192" s="42"/>
      <c r="D192" s="42"/>
      <c r="E192" s="42"/>
      <c r="F192" s="42"/>
      <c r="G192" s="42"/>
      <c r="H192" s="42"/>
      <c r="I192" s="42"/>
      <c r="J192" s="42"/>
      <c r="K192" s="42"/>
      <c r="L192" s="42"/>
      <c r="M192" s="42"/>
      <c r="N192" s="42"/>
      <c r="O192" s="375"/>
      <c r="P192" s="375"/>
      <c r="Q192" s="375"/>
      <c r="R192" s="16"/>
    </row>
    <row r="193" spans="1:18">
      <c r="A193" s="42"/>
      <c r="B193" s="42"/>
      <c r="C193" s="42"/>
      <c r="D193" s="42"/>
      <c r="E193" s="42"/>
      <c r="F193" s="42"/>
      <c r="G193" s="42"/>
      <c r="H193" s="42"/>
      <c r="I193" s="42"/>
      <c r="J193" s="42"/>
      <c r="K193" s="42"/>
      <c r="L193" s="42"/>
      <c r="M193" s="42"/>
      <c r="N193" s="42"/>
      <c r="O193" s="375"/>
      <c r="P193" s="375"/>
      <c r="Q193" s="16"/>
      <c r="R193" s="375"/>
    </row>
    <row r="194" spans="1:18">
      <c r="A194" s="42"/>
      <c r="B194" s="42"/>
      <c r="C194" s="42"/>
      <c r="D194" s="42"/>
      <c r="E194" s="42"/>
      <c r="F194" s="42"/>
      <c r="G194" s="42"/>
      <c r="H194" s="42"/>
      <c r="I194" s="42"/>
      <c r="J194" s="42"/>
      <c r="K194" s="42"/>
      <c r="L194" s="42"/>
      <c r="M194" s="42"/>
      <c r="N194" s="42"/>
      <c r="O194" s="375"/>
      <c r="P194" s="375"/>
      <c r="Q194" s="375"/>
      <c r="R194" s="16"/>
    </row>
    <row r="195" spans="1:18">
      <c r="A195" s="42"/>
      <c r="B195" s="42"/>
      <c r="C195" s="42"/>
      <c r="D195" s="42"/>
      <c r="E195" s="42"/>
      <c r="F195" s="42"/>
      <c r="G195" s="42"/>
      <c r="H195" s="42"/>
      <c r="I195" s="42"/>
      <c r="J195" s="42"/>
      <c r="K195" s="42"/>
      <c r="L195" s="42"/>
      <c r="M195" s="42"/>
      <c r="N195" s="42"/>
      <c r="O195" s="375"/>
      <c r="P195" s="375"/>
      <c r="Q195" s="375"/>
      <c r="R195" s="16"/>
    </row>
    <row r="196" spans="1:18">
      <c r="A196" s="42"/>
      <c r="B196" s="42"/>
      <c r="C196" s="42"/>
      <c r="D196" s="42"/>
      <c r="E196" s="42"/>
      <c r="F196" s="42"/>
      <c r="G196" s="42"/>
      <c r="H196" s="42"/>
      <c r="I196" s="42"/>
      <c r="J196" s="42"/>
      <c r="K196" s="42"/>
      <c r="L196" s="42"/>
      <c r="M196" s="42"/>
      <c r="N196" s="42"/>
      <c r="O196" s="375"/>
      <c r="P196" s="375"/>
      <c r="Q196" s="375"/>
      <c r="R196" s="16"/>
    </row>
    <row r="197" spans="1:18">
      <c r="A197" s="84"/>
      <c r="B197" s="42"/>
      <c r="C197" s="42"/>
      <c r="D197" s="42"/>
      <c r="E197" s="42"/>
      <c r="F197" s="42"/>
      <c r="G197" s="42"/>
      <c r="H197" s="42"/>
      <c r="I197" s="42"/>
      <c r="J197" s="42"/>
      <c r="K197" s="42"/>
      <c r="L197" s="42"/>
      <c r="M197" s="42"/>
      <c r="N197" s="42"/>
      <c r="O197" s="375"/>
      <c r="P197" s="375"/>
      <c r="Q197" s="375"/>
      <c r="R197" s="16"/>
    </row>
    <row r="198" spans="1:18">
      <c r="A198" s="42"/>
      <c r="B198" s="42"/>
      <c r="C198" s="42"/>
      <c r="D198" s="42"/>
      <c r="E198" s="42"/>
      <c r="F198" s="42"/>
      <c r="G198" s="42"/>
      <c r="H198" s="42"/>
      <c r="I198" s="42"/>
      <c r="J198" s="42"/>
      <c r="K198" s="42"/>
      <c r="L198" s="42"/>
      <c r="M198" s="42"/>
      <c r="N198" s="42"/>
      <c r="O198" s="375"/>
      <c r="P198" s="375"/>
      <c r="Q198" s="375"/>
      <c r="R198" s="16"/>
    </row>
    <row r="199" spans="1:18">
      <c r="A199" s="42"/>
      <c r="B199" s="42"/>
      <c r="C199" s="42"/>
      <c r="D199" s="42"/>
      <c r="E199" s="42"/>
      <c r="F199" s="42"/>
      <c r="G199" s="42"/>
      <c r="H199" s="42"/>
      <c r="I199" s="42"/>
      <c r="J199" s="42"/>
      <c r="K199" s="42"/>
      <c r="L199" s="42"/>
      <c r="M199" s="42"/>
      <c r="N199" s="42"/>
      <c r="O199" s="375"/>
      <c r="P199" s="375"/>
      <c r="Q199" s="16"/>
      <c r="R199" s="375"/>
    </row>
    <row r="200" spans="1:18">
      <c r="A200" s="42"/>
      <c r="B200" s="42"/>
      <c r="C200" s="42"/>
      <c r="D200" s="42"/>
      <c r="E200" s="42"/>
      <c r="F200" s="42"/>
      <c r="G200" s="42"/>
      <c r="H200" s="42"/>
      <c r="I200" s="42"/>
      <c r="J200" s="42"/>
      <c r="K200" s="42"/>
      <c r="L200" s="42"/>
      <c r="M200" s="42"/>
      <c r="N200" s="42"/>
      <c r="O200" s="375"/>
      <c r="P200" s="375"/>
      <c r="Q200" s="375"/>
      <c r="R200" s="16"/>
    </row>
    <row r="201" spans="1:18">
      <c r="A201" s="42"/>
      <c r="B201" s="42"/>
      <c r="C201" s="42"/>
      <c r="D201" s="42"/>
      <c r="E201" s="42"/>
      <c r="F201" s="42"/>
      <c r="G201" s="42"/>
      <c r="H201" s="42"/>
      <c r="I201" s="42"/>
      <c r="J201" s="42"/>
      <c r="K201" s="42"/>
      <c r="L201" s="42"/>
      <c r="M201" s="42"/>
      <c r="N201" s="42"/>
      <c r="O201" s="375"/>
      <c r="P201" s="375"/>
      <c r="Q201" s="375"/>
      <c r="R201" s="16"/>
    </row>
    <row r="202" spans="1:18">
      <c r="A202" s="42"/>
      <c r="B202" s="42"/>
      <c r="C202" s="42"/>
      <c r="D202" s="42"/>
      <c r="E202" s="42"/>
      <c r="F202" s="42"/>
      <c r="G202" s="42"/>
      <c r="H202" s="42"/>
      <c r="I202" s="42"/>
      <c r="J202" s="42"/>
      <c r="K202" s="42"/>
      <c r="L202" s="42"/>
      <c r="M202" s="42"/>
      <c r="N202" s="42"/>
      <c r="O202" s="375"/>
      <c r="P202" s="375"/>
      <c r="Q202" s="375"/>
      <c r="R202" s="16"/>
    </row>
    <row r="203" spans="1:18">
      <c r="A203" s="84"/>
      <c r="B203" s="42"/>
      <c r="C203" s="42"/>
      <c r="D203" s="42"/>
      <c r="E203" s="42"/>
      <c r="F203" s="42"/>
      <c r="G203" s="42"/>
      <c r="H203" s="42"/>
      <c r="I203" s="42"/>
      <c r="J203" s="42"/>
      <c r="K203" s="42"/>
      <c r="L203" s="42"/>
      <c r="M203" s="42"/>
      <c r="N203" s="42"/>
      <c r="O203" s="375"/>
      <c r="P203" s="375"/>
      <c r="Q203" s="375"/>
      <c r="R203" s="16"/>
    </row>
    <row r="204" spans="1:18">
      <c r="A204" s="42"/>
      <c r="B204" s="42"/>
      <c r="C204" s="42"/>
      <c r="D204" s="42"/>
      <c r="E204" s="42"/>
      <c r="F204" s="42"/>
      <c r="G204" s="42"/>
      <c r="H204" s="42"/>
      <c r="I204" s="42"/>
      <c r="J204" s="42"/>
      <c r="K204" s="42"/>
      <c r="L204" s="42"/>
      <c r="M204" s="42"/>
      <c r="N204" s="42"/>
      <c r="O204" s="375"/>
      <c r="P204" s="375"/>
      <c r="Q204" s="375"/>
      <c r="R204" s="16"/>
    </row>
    <row r="205" spans="1:18">
      <c r="A205" s="42"/>
      <c r="B205" s="42"/>
      <c r="C205" s="42"/>
      <c r="D205" s="42"/>
      <c r="E205" s="42"/>
      <c r="F205" s="42"/>
      <c r="G205" s="42"/>
      <c r="H205" s="42"/>
      <c r="I205" s="42"/>
      <c r="J205" s="42"/>
      <c r="K205" s="42"/>
      <c r="L205" s="42"/>
      <c r="M205" s="42"/>
      <c r="N205" s="42"/>
      <c r="O205" s="375"/>
      <c r="P205" s="375"/>
      <c r="Q205" s="16"/>
      <c r="R205" s="375"/>
    </row>
    <row r="206" spans="1:18">
      <c r="A206" s="42"/>
      <c r="B206" s="42"/>
      <c r="C206" s="42"/>
      <c r="D206" s="42"/>
      <c r="E206" s="42"/>
      <c r="F206" s="42"/>
      <c r="G206" s="42"/>
      <c r="H206" s="42"/>
      <c r="I206" s="42"/>
      <c r="J206" s="42"/>
      <c r="K206" s="42"/>
      <c r="L206" s="42"/>
      <c r="M206" s="42"/>
      <c r="N206" s="42"/>
      <c r="O206" s="375"/>
      <c r="P206" s="375"/>
      <c r="Q206" s="375"/>
      <c r="R206" s="16"/>
    </row>
    <row r="207" spans="1:18">
      <c r="A207" s="42"/>
      <c r="B207" s="42"/>
      <c r="C207" s="42"/>
      <c r="D207" s="42"/>
      <c r="E207" s="42"/>
      <c r="F207" s="42"/>
      <c r="G207" s="42"/>
      <c r="H207" s="42"/>
      <c r="I207" s="42"/>
      <c r="J207" s="42"/>
      <c r="K207" s="42"/>
      <c r="L207" s="42"/>
      <c r="M207" s="42"/>
      <c r="N207" s="42"/>
      <c r="O207" s="375"/>
      <c r="P207" s="375"/>
      <c r="Q207" s="375"/>
      <c r="R207" s="16"/>
    </row>
    <row r="208" spans="1:18">
      <c r="A208" s="42"/>
      <c r="B208" s="42"/>
      <c r="C208" s="42"/>
      <c r="D208" s="42"/>
      <c r="E208" s="42"/>
      <c r="F208" s="42"/>
      <c r="G208" s="42"/>
      <c r="H208" s="42"/>
      <c r="I208" s="42"/>
      <c r="J208" s="42"/>
      <c r="K208" s="42"/>
      <c r="L208" s="42"/>
      <c r="M208" s="42"/>
      <c r="N208" s="42"/>
      <c r="O208" s="375"/>
      <c r="P208" s="375"/>
      <c r="Q208" s="375"/>
      <c r="R208" s="16"/>
    </row>
    <row r="209" spans="1:18">
      <c r="A209" s="84"/>
      <c r="B209" s="42"/>
      <c r="C209" s="42"/>
      <c r="D209" s="42"/>
      <c r="E209" s="42"/>
      <c r="F209" s="42"/>
      <c r="G209" s="42"/>
      <c r="H209" s="42"/>
      <c r="I209" s="42"/>
      <c r="J209" s="42"/>
      <c r="K209" s="42"/>
      <c r="L209" s="42"/>
      <c r="M209" s="42"/>
      <c r="N209" s="42"/>
      <c r="O209" s="375"/>
      <c r="P209" s="375"/>
      <c r="Q209" s="375"/>
      <c r="R209" s="16"/>
    </row>
    <row r="210" spans="1:18">
      <c r="A210" s="42"/>
      <c r="B210" s="42"/>
      <c r="C210" s="42"/>
      <c r="D210" s="42"/>
      <c r="E210" s="42"/>
      <c r="F210" s="42"/>
      <c r="G210" s="42"/>
      <c r="H210" s="42"/>
      <c r="I210" s="42"/>
      <c r="J210" s="42"/>
      <c r="K210" s="42"/>
      <c r="L210" s="42"/>
      <c r="M210" s="42"/>
      <c r="N210" s="42"/>
      <c r="O210" s="375"/>
      <c r="P210" s="375"/>
      <c r="Q210" s="375"/>
      <c r="R210" s="16"/>
    </row>
    <row r="211" spans="1:18">
      <c r="A211" s="42"/>
      <c r="B211" s="42"/>
      <c r="C211" s="42"/>
      <c r="D211" s="42"/>
      <c r="E211" s="42"/>
      <c r="F211" s="42"/>
      <c r="G211" s="42"/>
      <c r="H211" s="42"/>
      <c r="I211" s="42"/>
      <c r="J211" s="42"/>
      <c r="K211" s="42"/>
      <c r="L211" s="42"/>
      <c r="M211" s="42"/>
      <c r="N211" s="42"/>
      <c r="O211" s="375"/>
      <c r="P211" s="375"/>
      <c r="Q211" s="16"/>
      <c r="R211" s="375"/>
    </row>
    <row r="212" spans="1:18">
      <c r="A212" s="42"/>
      <c r="B212" s="42"/>
      <c r="C212" s="42"/>
      <c r="D212" s="42"/>
      <c r="E212" s="42"/>
      <c r="F212" s="42"/>
      <c r="G212" s="42"/>
      <c r="H212" s="42"/>
      <c r="I212" s="42"/>
      <c r="J212" s="42"/>
      <c r="K212" s="42"/>
      <c r="L212" s="42"/>
      <c r="M212" s="42"/>
      <c r="N212" s="42"/>
      <c r="O212" s="375"/>
      <c r="P212" s="375"/>
      <c r="Q212" s="375"/>
      <c r="R212" s="16"/>
    </row>
    <row r="213" spans="1:18">
      <c r="A213" s="42"/>
      <c r="B213" s="42"/>
      <c r="C213" s="42"/>
      <c r="D213" s="42"/>
      <c r="E213" s="42"/>
      <c r="F213" s="42"/>
      <c r="G213" s="42"/>
      <c r="H213" s="42"/>
      <c r="I213" s="42"/>
      <c r="J213" s="42"/>
      <c r="K213" s="42"/>
      <c r="L213" s="42"/>
      <c r="M213" s="42"/>
      <c r="N213" s="42"/>
      <c r="O213" s="375"/>
      <c r="P213" s="375"/>
      <c r="Q213" s="375"/>
      <c r="R213" s="16"/>
    </row>
    <row r="214" spans="1:18">
      <c r="A214" s="42"/>
      <c r="B214" s="42"/>
      <c r="C214" s="42"/>
      <c r="D214" s="42"/>
      <c r="E214" s="42"/>
      <c r="F214" s="42"/>
      <c r="G214" s="42"/>
      <c r="H214" s="42"/>
      <c r="I214" s="42"/>
      <c r="J214" s="42"/>
      <c r="K214" s="42"/>
      <c r="L214" s="42"/>
      <c r="M214" s="42"/>
      <c r="N214" s="42"/>
      <c r="O214" s="375"/>
      <c r="P214" s="375"/>
      <c r="Q214" s="375"/>
      <c r="R214" s="16"/>
    </row>
    <row r="215" spans="1:18">
      <c r="A215" s="84"/>
      <c r="B215" s="42"/>
      <c r="C215" s="42"/>
      <c r="D215" s="42"/>
      <c r="E215" s="42"/>
      <c r="F215" s="42"/>
      <c r="G215" s="42"/>
      <c r="H215" s="42"/>
      <c r="I215" s="42"/>
      <c r="J215" s="42"/>
      <c r="K215" s="42"/>
      <c r="L215" s="42"/>
      <c r="M215" s="42"/>
      <c r="N215" s="42"/>
      <c r="O215" s="375"/>
      <c r="P215" s="375"/>
      <c r="Q215" s="375"/>
      <c r="R215" s="16"/>
    </row>
    <row r="216" spans="1:18">
      <c r="A216" s="42"/>
      <c r="B216" s="42"/>
      <c r="C216" s="42"/>
      <c r="D216" s="42"/>
      <c r="E216" s="42"/>
      <c r="F216" s="42"/>
      <c r="G216" s="42"/>
      <c r="H216" s="42"/>
      <c r="I216" s="42"/>
      <c r="J216" s="42"/>
      <c r="K216" s="42"/>
      <c r="L216" s="42"/>
      <c r="M216" s="42"/>
      <c r="N216" s="42"/>
      <c r="O216" s="375"/>
      <c r="P216" s="375"/>
      <c r="Q216" s="375"/>
      <c r="R216" s="16"/>
    </row>
    <row r="217" spans="1:18">
      <c r="A217" s="42"/>
      <c r="B217" s="42"/>
      <c r="C217" s="42"/>
      <c r="D217" s="42"/>
      <c r="E217" s="42"/>
      <c r="F217" s="42"/>
      <c r="G217" s="42"/>
      <c r="H217" s="42"/>
      <c r="I217" s="42"/>
      <c r="J217" s="42"/>
      <c r="K217" s="42"/>
      <c r="L217" s="42"/>
      <c r="M217" s="42"/>
      <c r="N217" s="42"/>
      <c r="O217" s="375"/>
      <c r="P217" s="375"/>
      <c r="Q217" s="16"/>
      <c r="R217" s="375"/>
    </row>
    <row r="218" spans="1:18">
      <c r="A218" s="42"/>
      <c r="B218" s="42"/>
      <c r="C218" s="42"/>
      <c r="D218" s="42"/>
      <c r="E218" s="42"/>
      <c r="F218" s="42"/>
      <c r="G218" s="42"/>
      <c r="H218" s="42"/>
      <c r="I218" s="42"/>
      <c r="J218" s="42"/>
      <c r="K218" s="42"/>
      <c r="L218" s="42"/>
      <c r="M218" s="42"/>
      <c r="N218" s="42"/>
      <c r="O218" s="375"/>
      <c r="P218" s="375"/>
      <c r="Q218" s="375"/>
      <c r="R218" s="16"/>
    </row>
    <row r="219" spans="1:18">
      <c r="A219" s="42"/>
      <c r="B219" s="42"/>
      <c r="C219" s="42"/>
      <c r="D219" s="42"/>
      <c r="E219" s="42"/>
      <c r="F219" s="42"/>
      <c r="G219" s="42"/>
      <c r="H219" s="42"/>
      <c r="I219" s="42"/>
      <c r="J219" s="42"/>
      <c r="K219" s="42"/>
      <c r="L219" s="42"/>
      <c r="M219" s="42"/>
      <c r="N219" s="42"/>
      <c r="O219" s="375"/>
      <c r="P219" s="375"/>
      <c r="Q219" s="375"/>
      <c r="R219" s="16"/>
    </row>
    <row r="220" spans="1:18">
      <c r="A220" s="42"/>
      <c r="B220" s="42"/>
      <c r="C220" s="42"/>
      <c r="D220" s="42"/>
      <c r="E220" s="42"/>
      <c r="F220" s="42"/>
      <c r="G220" s="42"/>
      <c r="H220" s="42"/>
      <c r="I220" s="42"/>
      <c r="J220" s="42"/>
      <c r="K220" s="42"/>
      <c r="L220" s="42"/>
      <c r="M220" s="42"/>
      <c r="N220" s="42"/>
      <c r="O220" s="375"/>
      <c r="P220" s="375"/>
      <c r="Q220" s="375"/>
      <c r="R220" s="16"/>
    </row>
    <row r="221" spans="1:18">
      <c r="A221" s="84"/>
      <c r="B221" s="42"/>
      <c r="C221" s="42"/>
      <c r="D221" s="42"/>
      <c r="E221" s="42"/>
      <c r="F221" s="42"/>
      <c r="G221" s="42"/>
      <c r="H221" s="42"/>
      <c r="I221" s="42"/>
      <c r="J221" s="42"/>
      <c r="K221" s="42"/>
      <c r="L221" s="42"/>
      <c r="M221" s="42"/>
      <c r="N221" s="42"/>
      <c r="O221" s="375"/>
      <c r="P221" s="375"/>
      <c r="Q221" s="375"/>
      <c r="R221" s="16"/>
    </row>
    <row r="222" spans="1:18">
      <c r="A222" s="42"/>
      <c r="B222" s="42"/>
      <c r="C222" s="42"/>
      <c r="D222" s="42"/>
      <c r="E222" s="42"/>
      <c r="F222" s="42"/>
      <c r="G222" s="42"/>
      <c r="H222" s="42"/>
      <c r="I222" s="42"/>
      <c r="J222" s="42"/>
      <c r="K222" s="42"/>
      <c r="L222" s="42"/>
      <c r="M222" s="42"/>
      <c r="N222" s="42"/>
      <c r="O222" s="375"/>
      <c r="P222" s="375"/>
      <c r="Q222" s="375"/>
      <c r="R222" s="16"/>
    </row>
    <row r="223" spans="1:18">
      <c r="A223" s="42"/>
      <c r="B223" s="42"/>
      <c r="C223" s="42"/>
      <c r="D223" s="42"/>
      <c r="E223" s="42"/>
      <c r="F223" s="42"/>
      <c r="G223" s="42"/>
      <c r="H223" s="42"/>
      <c r="I223" s="42"/>
      <c r="J223" s="42"/>
      <c r="K223" s="42"/>
      <c r="L223" s="42"/>
      <c r="M223" s="42"/>
      <c r="N223" s="42"/>
      <c r="O223" s="375"/>
      <c r="P223" s="375"/>
      <c r="Q223" s="16"/>
      <c r="R223" s="375"/>
    </row>
    <row r="224" spans="1:18">
      <c r="A224" s="42"/>
      <c r="B224" s="42"/>
      <c r="C224" s="42"/>
      <c r="D224" s="42"/>
      <c r="E224" s="42"/>
      <c r="F224" s="42"/>
      <c r="G224" s="42"/>
      <c r="H224" s="42"/>
      <c r="I224" s="42"/>
      <c r="J224" s="42"/>
      <c r="K224" s="42"/>
      <c r="L224" s="42"/>
      <c r="M224" s="42"/>
      <c r="N224" s="42"/>
      <c r="O224" s="375"/>
      <c r="P224" s="375"/>
      <c r="Q224" s="375"/>
      <c r="R224" s="16"/>
    </row>
    <row r="225" spans="1:18">
      <c r="A225" s="42"/>
      <c r="B225" s="42"/>
      <c r="C225" s="42"/>
      <c r="D225" s="42"/>
      <c r="E225" s="42"/>
      <c r="F225" s="42"/>
      <c r="G225" s="42"/>
      <c r="H225" s="42"/>
      <c r="I225" s="42"/>
      <c r="J225" s="42"/>
      <c r="K225" s="42"/>
      <c r="L225" s="42"/>
      <c r="M225" s="42"/>
      <c r="N225" s="42"/>
      <c r="O225" s="375"/>
      <c r="P225" s="375"/>
      <c r="Q225" s="375"/>
      <c r="R225" s="16"/>
    </row>
    <row r="226" spans="1:18">
      <c r="A226" s="42"/>
      <c r="B226" s="42"/>
      <c r="C226" s="42"/>
      <c r="D226" s="42"/>
      <c r="E226" s="42"/>
      <c r="F226" s="42"/>
      <c r="G226" s="42"/>
      <c r="H226" s="42"/>
      <c r="I226" s="42"/>
      <c r="J226" s="42"/>
      <c r="K226" s="42"/>
      <c r="L226" s="42"/>
      <c r="M226" s="42"/>
      <c r="N226" s="42"/>
      <c r="O226" s="375"/>
      <c r="P226" s="375"/>
      <c r="Q226" s="375"/>
      <c r="R226" s="16"/>
    </row>
    <row r="227" spans="1:18">
      <c r="A227" s="84"/>
      <c r="B227" s="42"/>
      <c r="C227" s="42"/>
      <c r="D227" s="42"/>
      <c r="E227" s="42"/>
      <c r="F227" s="42"/>
      <c r="G227" s="42"/>
      <c r="H227" s="42"/>
      <c r="I227" s="42"/>
      <c r="J227" s="42"/>
      <c r="K227" s="42"/>
      <c r="L227" s="42"/>
      <c r="M227" s="42"/>
      <c r="N227" s="42"/>
      <c r="O227" s="375"/>
      <c r="P227" s="375"/>
      <c r="Q227" s="375"/>
      <c r="R227" s="16"/>
    </row>
    <row r="228" spans="1:18">
      <c r="A228" s="42"/>
      <c r="B228" s="42"/>
      <c r="C228" s="42"/>
      <c r="D228" s="42"/>
      <c r="E228" s="42"/>
      <c r="F228" s="42"/>
      <c r="G228" s="42"/>
      <c r="H228" s="42"/>
      <c r="I228" s="42"/>
      <c r="J228" s="42"/>
      <c r="K228" s="42"/>
      <c r="L228" s="42"/>
      <c r="M228" s="42"/>
      <c r="N228" s="42"/>
      <c r="O228" s="375"/>
      <c r="P228" s="375"/>
      <c r="Q228" s="375"/>
      <c r="R228" s="16"/>
    </row>
    <row r="229" spans="1:18">
      <c r="A229" s="42"/>
      <c r="B229" s="42"/>
      <c r="C229" s="42"/>
      <c r="D229" s="42"/>
      <c r="E229" s="42"/>
      <c r="F229" s="42"/>
      <c r="G229" s="42"/>
      <c r="H229" s="42"/>
      <c r="I229" s="42"/>
      <c r="J229" s="42"/>
      <c r="K229" s="42"/>
      <c r="L229" s="42"/>
      <c r="M229" s="42"/>
      <c r="N229" s="42"/>
      <c r="O229" s="375"/>
      <c r="P229" s="375"/>
      <c r="Q229" s="16"/>
      <c r="R229" s="375"/>
    </row>
    <row r="230" spans="1:18">
      <c r="A230" s="42"/>
      <c r="B230" s="42"/>
      <c r="C230" s="42"/>
      <c r="D230" s="42"/>
      <c r="E230" s="42"/>
      <c r="F230" s="42"/>
      <c r="G230" s="42"/>
      <c r="H230" s="42"/>
      <c r="I230" s="42"/>
      <c r="J230" s="42"/>
      <c r="K230" s="42"/>
      <c r="L230" s="42"/>
      <c r="M230" s="42"/>
      <c r="N230" s="42"/>
      <c r="O230" s="375"/>
      <c r="P230" s="375"/>
      <c r="Q230" s="375"/>
      <c r="R230" s="16"/>
    </row>
    <row r="231" spans="1:18">
      <c r="A231" s="42"/>
      <c r="B231" s="42"/>
      <c r="C231" s="42"/>
      <c r="D231" s="42"/>
      <c r="E231" s="42"/>
      <c r="F231" s="42"/>
      <c r="G231" s="42"/>
      <c r="H231" s="42"/>
      <c r="I231" s="42"/>
      <c r="J231" s="42"/>
      <c r="K231" s="42"/>
      <c r="L231" s="42"/>
      <c r="M231" s="42"/>
      <c r="N231" s="42"/>
      <c r="O231" s="375"/>
      <c r="P231" s="375"/>
      <c r="Q231" s="375"/>
      <c r="R231" s="16"/>
    </row>
    <row r="232" spans="1:18">
      <c r="A232" s="42"/>
      <c r="B232" s="42"/>
      <c r="C232" s="42"/>
      <c r="D232" s="42"/>
      <c r="E232" s="42"/>
      <c r="F232" s="42"/>
      <c r="G232" s="42"/>
      <c r="H232" s="42"/>
      <c r="I232" s="42"/>
      <c r="J232" s="42"/>
      <c r="K232" s="42"/>
      <c r="L232" s="42"/>
      <c r="M232" s="42"/>
      <c r="N232" s="42"/>
      <c r="O232" s="375"/>
      <c r="P232" s="375"/>
      <c r="Q232" s="375"/>
      <c r="R232" s="16"/>
    </row>
    <row r="233" spans="1:18">
      <c r="A233" s="84"/>
      <c r="B233" s="42"/>
      <c r="C233" s="42"/>
      <c r="D233" s="42"/>
      <c r="E233" s="42"/>
      <c r="F233" s="42"/>
      <c r="G233" s="42"/>
      <c r="H233" s="42"/>
      <c r="I233" s="42"/>
      <c r="J233" s="42"/>
      <c r="K233" s="42"/>
      <c r="L233" s="42"/>
      <c r="M233" s="42"/>
      <c r="N233" s="42"/>
      <c r="O233" s="375"/>
      <c r="P233" s="375"/>
      <c r="Q233" s="375"/>
      <c r="R233" s="16"/>
    </row>
    <row r="234" spans="1:18">
      <c r="A234" s="42"/>
      <c r="B234" s="42"/>
      <c r="C234" s="42"/>
      <c r="D234" s="42"/>
      <c r="E234" s="42"/>
      <c r="F234" s="42"/>
      <c r="G234" s="42"/>
      <c r="H234" s="42"/>
      <c r="I234" s="42"/>
      <c r="J234" s="42"/>
      <c r="K234" s="42"/>
      <c r="L234" s="42"/>
      <c r="M234" s="42"/>
      <c r="N234" s="42"/>
      <c r="O234" s="375"/>
      <c r="P234" s="375"/>
      <c r="Q234" s="375"/>
      <c r="R234" s="16"/>
    </row>
    <row r="235" spans="1:18">
      <c r="A235" s="42"/>
      <c r="B235" s="42"/>
      <c r="C235" s="42"/>
      <c r="D235" s="42"/>
      <c r="E235" s="42"/>
      <c r="F235" s="42"/>
      <c r="G235" s="42"/>
      <c r="H235" s="42"/>
      <c r="I235" s="42"/>
      <c r="J235" s="42"/>
      <c r="K235" s="42"/>
      <c r="L235" s="42"/>
      <c r="M235" s="42"/>
      <c r="N235" s="42"/>
      <c r="O235" s="375"/>
      <c r="P235" s="375"/>
      <c r="R235" s="375"/>
    </row>
    <row r="236" spans="1:18">
      <c r="A236" s="42"/>
      <c r="B236" s="42"/>
      <c r="C236" s="42"/>
      <c r="D236" s="42"/>
      <c r="E236" s="42"/>
      <c r="F236" s="42"/>
      <c r="G236" s="42"/>
      <c r="H236" s="42"/>
      <c r="I236" s="42"/>
      <c r="J236" s="42"/>
      <c r="K236" s="42"/>
      <c r="L236" s="42"/>
      <c r="M236" s="42"/>
      <c r="N236" s="42"/>
      <c r="O236" s="375"/>
      <c r="P236" s="375"/>
      <c r="Q236" s="375"/>
      <c r="R236" s="16"/>
    </row>
    <row r="237" spans="1:18">
      <c r="A237" s="42"/>
      <c r="B237" s="42"/>
      <c r="C237" s="42"/>
      <c r="D237" s="42"/>
      <c r="E237" s="42"/>
      <c r="F237" s="42"/>
      <c r="G237" s="42"/>
      <c r="H237" s="42"/>
      <c r="I237" s="42"/>
      <c r="J237" s="42"/>
      <c r="K237" s="42"/>
      <c r="L237" s="42"/>
      <c r="M237" s="42"/>
      <c r="N237" s="42"/>
      <c r="O237" s="375"/>
      <c r="P237" s="375"/>
      <c r="Q237" s="375"/>
      <c r="R237" s="16"/>
    </row>
    <row r="238" spans="1:18">
      <c r="A238" s="42"/>
      <c r="B238" s="42"/>
      <c r="C238" s="42"/>
      <c r="D238" s="42"/>
      <c r="E238" s="42"/>
      <c r="F238" s="42"/>
      <c r="G238" s="42"/>
      <c r="H238" s="42"/>
      <c r="I238" s="42"/>
      <c r="J238" s="42"/>
      <c r="K238" s="42"/>
      <c r="L238" s="42"/>
      <c r="M238" s="42"/>
      <c r="N238" s="42"/>
      <c r="O238" s="375"/>
      <c r="P238" s="375"/>
      <c r="Q238" s="375"/>
      <c r="R238" s="16"/>
    </row>
    <row r="239" spans="1:18">
      <c r="A239" s="84"/>
      <c r="B239" s="42"/>
      <c r="C239" s="42"/>
      <c r="D239" s="42"/>
      <c r="E239" s="42"/>
      <c r="F239" s="42"/>
      <c r="G239" s="42"/>
      <c r="H239" s="42"/>
      <c r="I239" s="42"/>
      <c r="J239" s="42"/>
      <c r="K239" s="42"/>
      <c r="L239" s="42"/>
      <c r="M239" s="42"/>
      <c r="N239" s="42"/>
      <c r="O239" s="375"/>
      <c r="P239" s="375"/>
      <c r="Q239" s="375"/>
      <c r="R239" s="16"/>
    </row>
    <row r="240" spans="1:18">
      <c r="A240" s="42"/>
      <c r="B240" s="42"/>
      <c r="C240" s="42"/>
      <c r="D240" s="42"/>
      <c r="E240" s="42"/>
      <c r="F240" s="42"/>
      <c r="G240" s="42"/>
      <c r="H240" s="42"/>
      <c r="I240" s="42"/>
      <c r="J240" s="42"/>
      <c r="K240" s="42"/>
      <c r="L240" s="42"/>
      <c r="M240" s="42"/>
      <c r="N240" s="42"/>
      <c r="O240" s="375"/>
      <c r="P240" s="375"/>
      <c r="Q240" s="375"/>
      <c r="R240" s="16"/>
    </row>
    <row r="241" spans="1:18">
      <c r="A241" s="42"/>
      <c r="B241" s="42"/>
      <c r="C241" s="42"/>
      <c r="D241" s="42"/>
      <c r="E241" s="42"/>
      <c r="F241" s="42"/>
      <c r="G241" s="42"/>
      <c r="H241" s="42"/>
      <c r="I241" s="42"/>
      <c r="J241" s="42"/>
      <c r="K241" s="42"/>
      <c r="L241" s="42"/>
      <c r="M241" s="42"/>
      <c r="N241" s="42"/>
      <c r="O241" s="375"/>
      <c r="P241" s="375"/>
      <c r="R241" s="375"/>
    </row>
    <row r="242" spans="1:18">
      <c r="A242" s="42"/>
      <c r="B242" s="42"/>
      <c r="C242" s="42"/>
      <c r="D242" s="42"/>
      <c r="E242" s="42"/>
      <c r="F242" s="42"/>
      <c r="G242" s="42"/>
      <c r="H242" s="42"/>
      <c r="I242" s="42"/>
      <c r="J242" s="42"/>
      <c r="K242" s="42"/>
      <c r="L242" s="42"/>
      <c r="M242" s="42"/>
      <c r="N242" s="42"/>
      <c r="O242" s="375"/>
      <c r="P242" s="375"/>
      <c r="Q242" s="375"/>
      <c r="R242" s="16"/>
    </row>
    <row r="243" spans="1:18">
      <c r="A243" s="42"/>
      <c r="B243" s="42"/>
      <c r="C243" s="42"/>
      <c r="D243" s="42"/>
      <c r="E243" s="42"/>
      <c r="F243" s="42"/>
      <c r="G243" s="42"/>
      <c r="H243" s="42"/>
      <c r="I243" s="42"/>
      <c r="J243" s="42"/>
      <c r="K243" s="42"/>
      <c r="L243" s="42"/>
      <c r="M243" s="42"/>
      <c r="N243" s="42"/>
      <c r="O243" s="375"/>
      <c r="P243" s="375"/>
      <c r="Q243" s="375"/>
      <c r="R243" s="16"/>
    </row>
    <row r="244" spans="1:18">
      <c r="A244" s="42"/>
      <c r="B244" s="42"/>
      <c r="C244" s="42"/>
      <c r="D244" s="42"/>
      <c r="E244" s="42"/>
      <c r="F244" s="42"/>
      <c r="G244" s="42"/>
      <c r="H244" s="42"/>
      <c r="I244" s="42"/>
      <c r="J244" s="42"/>
      <c r="K244" s="42"/>
      <c r="L244" s="42"/>
      <c r="M244" s="42"/>
      <c r="N244" s="42"/>
      <c r="O244" s="375"/>
      <c r="P244" s="375"/>
      <c r="Q244" s="375"/>
      <c r="R244" s="16"/>
    </row>
    <row r="245" spans="1:18">
      <c r="A245" s="84"/>
      <c r="B245" s="42"/>
      <c r="C245" s="42"/>
      <c r="D245" s="42"/>
      <c r="E245" s="42"/>
      <c r="F245" s="42"/>
      <c r="G245" s="42"/>
      <c r="H245" s="42"/>
      <c r="I245" s="42"/>
      <c r="J245" s="42"/>
      <c r="K245" s="42"/>
      <c r="L245" s="42"/>
      <c r="M245" s="42"/>
      <c r="N245" s="42"/>
      <c r="O245" s="375"/>
      <c r="P245" s="375"/>
      <c r="Q245" s="375"/>
      <c r="R245" s="16"/>
    </row>
    <row r="246" spans="1:18">
      <c r="A246" s="42"/>
      <c r="B246" s="42"/>
      <c r="C246" s="42"/>
      <c r="D246" s="42"/>
      <c r="E246" s="42"/>
      <c r="F246" s="42"/>
      <c r="G246" s="42"/>
      <c r="H246" s="42"/>
      <c r="I246" s="42"/>
      <c r="J246" s="42"/>
      <c r="K246" s="42"/>
      <c r="L246" s="42"/>
      <c r="M246" s="42"/>
      <c r="N246" s="42"/>
      <c r="O246" s="375"/>
      <c r="P246" s="375"/>
      <c r="Q246" s="375"/>
      <c r="R246" s="16"/>
    </row>
    <row r="247" spans="1:18">
      <c r="A247" s="42"/>
      <c r="B247" s="42"/>
      <c r="C247" s="42"/>
      <c r="D247" s="42"/>
      <c r="E247" s="42"/>
      <c r="F247" s="42"/>
      <c r="G247" s="42"/>
      <c r="H247" s="42"/>
      <c r="I247" s="42"/>
      <c r="J247" s="42"/>
      <c r="K247" s="42"/>
      <c r="L247" s="42"/>
      <c r="M247" s="42"/>
      <c r="N247" s="42"/>
      <c r="O247" s="375"/>
      <c r="P247" s="375"/>
      <c r="R247" s="375"/>
    </row>
    <row r="248" spans="1:18">
      <c r="A248" s="42"/>
      <c r="B248" s="42"/>
      <c r="C248" s="42"/>
      <c r="D248" s="42"/>
      <c r="E248" s="42"/>
      <c r="F248" s="42"/>
      <c r="G248" s="42"/>
      <c r="H248" s="42"/>
      <c r="I248" s="42"/>
      <c r="J248" s="42"/>
      <c r="K248" s="42"/>
      <c r="L248" s="42"/>
      <c r="M248" s="42"/>
      <c r="N248" s="42"/>
      <c r="O248" s="375"/>
      <c r="P248" s="375"/>
      <c r="Q248" s="375"/>
      <c r="R248" s="16"/>
    </row>
    <row r="249" spans="1:18">
      <c r="A249" s="42"/>
      <c r="B249" s="42"/>
      <c r="C249" s="42"/>
      <c r="D249" s="42"/>
      <c r="E249" s="42"/>
      <c r="F249" s="42"/>
      <c r="G249" s="42"/>
      <c r="H249" s="42"/>
      <c r="I249" s="42"/>
      <c r="J249" s="42"/>
      <c r="K249" s="42"/>
      <c r="L249" s="42"/>
      <c r="M249" s="42"/>
      <c r="N249" s="42"/>
      <c r="O249" s="375"/>
      <c r="P249" s="375"/>
      <c r="Q249" s="375"/>
      <c r="R249" s="16"/>
    </row>
    <row r="250" spans="1:18">
      <c r="A250" s="42"/>
      <c r="B250" s="42"/>
      <c r="C250" s="42"/>
      <c r="D250" s="42"/>
      <c r="E250" s="42"/>
      <c r="F250" s="42"/>
      <c r="G250" s="42"/>
      <c r="H250" s="42"/>
      <c r="I250" s="42"/>
      <c r="J250" s="42"/>
      <c r="K250" s="42"/>
      <c r="L250" s="42"/>
      <c r="M250" s="42"/>
      <c r="N250" s="42"/>
      <c r="O250" s="375"/>
      <c r="P250" s="375"/>
      <c r="Q250" s="375"/>
      <c r="R250" s="16"/>
    </row>
    <row r="251" spans="1:18">
      <c r="A251" s="84"/>
      <c r="B251" s="42"/>
      <c r="C251" s="42"/>
      <c r="D251" s="42"/>
      <c r="E251" s="42"/>
      <c r="F251" s="42"/>
      <c r="G251" s="42"/>
      <c r="H251" s="42"/>
      <c r="I251" s="42"/>
      <c r="J251" s="42"/>
      <c r="K251" s="42"/>
      <c r="L251" s="42"/>
      <c r="M251" s="42"/>
      <c r="N251" s="42"/>
      <c r="O251" s="375"/>
      <c r="P251" s="375"/>
      <c r="Q251" s="375"/>
      <c r="R251" s="16"/>
    </row>
    <row r="252" spans="1:18">
      <c r="A252" s="42"/>
      <c r="B252" s="42"/>
      <c r="C252" s="42"/>
      <c r="D252" s="42"/>
      <c r="E252" s="42"/>
      <c r="F252" s="42"/>
      <c r="G252" s="42"/>
      <c r="H252" s="42"/>
      <c r="I252" s="42"/>
      <c r="J252" s="42"/>
      <c r="K252" s="42"/>
      <c r="L252" s="42"/>
      <c r="M252" s="42"/>
      <c r="N252" s="42"/>
      <c r="O252" s="375"/>
      <c r="P252" s="375"/>
      <c r="Q252" s="375"/>
      <c r="R252" s="16"/>
    </row>
    <row r="253" spans="1:18">
      <c r="A253" s="42"/>
      <c r="B253" s="42"/>
      <c r="C253" s="42"/>
      <c r="D253" s="42"/>
      <c r="E253" s="42"/>
      <c r="F253" s="42"/>
      <c r="G253" s="42"/>
      <c r="H253" s="42"/>
      <c r="I253" s="42"/>
      <c r="J253" s="42"/>
      <c r="K253" s="42"/>
      <c r="L253" s="42"/>
      <c r="M253" s="42"/>
      <c r="N253" s="42"/>
      <c r="O253" s="375"/>
      <c r="P253" s="375"/>
      <c r="R253" s="375"/>
    </row>
    <row r="254" spans="1:18">
      <c r="A254" s="42"/>
      <c r="B254" s="42"/>
      <c r="C254" s="42"/>
      <c r="D254" s="42"/>
      <c r="E254" s="42"/>
      <c r="F254" s="42"/>
      <c r="G254" s="42"/>
      <c r="H254" s="42"/>
      <c r="I254" s="42"/>
      <c r="J254" s="42"/>
      <c r="K254" s="42"/>
      <c r="L254" s="42"/>
      <c r="M254" s="42"/>
      <c r="N254" s="42"/>
      <c r="O254" s="375"/>
      <c r="P254" s="375"/>
      <c r="Q254" s="375"/>
      <c r="R254" s="16"/>
    </row>
    <row r="255" spans="1:18">
      <c r="A255" s="42"/>
      <c r="B255" s="42"/>
      <c r="C255" s="42"/>
      <c r="D255" s="42"/>
      <c r="E255" s="42"/>
      <c r="F255" s="42"/>
      <c r="G255" s="42"/>
      <c r="H255" s="42"/>
      <c r="I255" s="42"/>
      <c r="J255" s="42"/>
      <c r="K255" s="42"/>
      <c r="L255" s="42"/>
      <c r="M255" s="42"/>
      <c r="N255" s="42"/>
      <c r="O255" s="375"/>
      <c r="P255" s="375"/>
      <c r="Q255" s="375"/>
      <c r="R255" s="16"/>
    </row>
    <row r="256" spans="1:18">
      <c r="A256" s="42"/>
      <c r="B256" s="42"/>
      <c r="C256" s="42"/>
      <c r="D256" s="42"/>
      <c r="E256" s="42"/>
      <c r="F256" s="42"/>
      <c r="G256" s="42"/>
      <c r="H256" s="42"/>
      <c r="I256" s="42"/>
      <c r="J256" s="42"/>
      <c r="K256" s="42"/>
      <c r="L256" s="42"/>
      <c r="M256" s="42"/>
      <c r="N256" s="42"/>
      <c r="O256" s="375"/>
      <c r="P256" s="375"/>
      <c r="Q256" s="375"/>
      <c r="R256" s="16"/>
    </row>
    <row r="257" spans="1:18">
      <c r="A257" s="84"/>
      <c r="B257" s="42"/>
      <c r="C257" s="42"/>
      <c r="D257" s="42"/>
      <c r="E257" s="42"/>
      <c r="F257" s="42"/>
      <c r="G257" s="42"/>
      <c r="H257" s="42"/>
      <c r="I257" s="42"/>
      <c r="J257" s="42"/>
      <c r="K257" s="42"/>
      <c r="L257" s="42"/>
      <c r="M257" s="42"/>
      <c r="N257" s="42"/>
      <c r="O257" s="375"/>
      <c r="P257" s="375"/>
      <c r="Q257" s="375"/>
      <c r="R257" s="16"/>
    </row>
    <row r="258" spans="1:18">
      <c r="A258" s="42"/>
      <c r="B258" s="42"/>
      <c r="C258" s="42"/>
      <c r="D258" s="42"/>
      <c r="E258" s="42"/>
      <c r="F258" s="42"/>
      <c r="G258" s="42"/>
      <c r="H258" s="42"/>
      <c r="I258" s="42"/>
      <c r="J258" s="42"/>
      <c r="K258" s="42"/>
      <c r="L258" s="42"/>
      <c r="M258" s="42"/>
      <c r="N258" s="42"/>
      <c r="O258" s="375"/>
      <c r="P258" s="375"/>
      <c r="Q258" s="375"/>
      <c r="R258" s="16"/>
    </row>
    <row r="259" spans="1:18">
      <c r="A259" s="42"/>
      <c r="B259" s="42"/>
      <c r="C259" s="42"/>
      <c r="D259" s="42"/>
      <c r="E259" s="42"/>
      <c r="F259" s="42"/>
      <c r="G259" s="42"/>
      <c r="H259" s="42"/>
      <c r="I259" s="42"/>
      <c r="J259" s="42"/>
      <c r="K259" s="42"/>
      <c r="L259" s="42"/>
      <c r="M259" s="42"/>
      <c r="N259" s="42"/>
      <c r="O259" s="375"/>
      <c r="P259" s="375"/>
      <c r="R259" s="375"/>
    </row>
    <row r="260" spans="1:18">
      <c r="A260" s="42"/>
      <c r="B260" s="42"/>
      <c r="C260" s="42"/>
      <c r="D260" s="42"/>
      <c r="E260" s="42"/>
      <c r="F260" s="42"/>
      <c r="G260" s="42"/>
      <c r="H260" s="42"/>
      <c r="I260" s="42"/>
      <c r="J260" s="42"/>
      <c r="K260" s="42"/>
      <c r="L260" s="42"/>
      <c r="M260" s="42"/>
      <c r="N260" s="42"/>
      <c r="O260" s="375"/>
      <c r="P260" s="375"/>
      <c r="Q260" s="375"/>
      <c r="R260" s="16"/>
    </row>
    <row r="261" spans="1:18">
      <c r="A261" s="42"/>
      <c r="B261" s="42"/>
      <c r="C261" s="42"/>
      <c r="D261" s="42"/>
      <c r="E261" s="42"/>
      <c r="F261" s="42"/>
      <c r="G261" s="42"/>
      <c r="H261" s="42"/>
      <c r="I261" s="42"/>
      <c r="J261" s="42"/>
      <c r="K261" s="42"/>
      <c r="L261" s="42"/>
      <c r="M261" s="42"/>
      <c r="N261" s="42"/>
      <c r="O261" s="375"/>
      <c r="P261" s="375"/>
      <c r="Q261" s="375"/>
      <c r="R261" s="16"/>
    </row>
    <row r="262" spans="1:18">
      <c r="A262" s="42"/>
      <c r="B262" s="42"/>
      <c r="C262" s="42"/>
      <c r="D262" s="42"/>
      <c r="E262" s="42"/>
      <c r="F262" s="42"/>
      <c r="G262" s="42"/>
      <c r="H262" s="42"/>
      <c r="I262" s="42"/>
      <c r="J262" s="42"/>
      <c r="K262" s="42"/>
      <c r="L262" s="42"/>
      <c r="M262" s="42"/>
      <c r="N262" s="42"/>
      <c r="O262" s="375"/>
      <c r="P262" s="375"/>
      <c r="Q262" s="375"/>
      <c r="R262" s="16"/>
    </row>
    <row r="263" spans="1:18">
      <c r="A263" s="84"/>
      <c r="B263" s="42"/>
      <c r="C263" s="42"/>
      <c r="D263" s="42"/>
      <c r="E263" s="42"/>
      <c r="F263" s="42"/>
      <c r="G263" s="42"/>
      <c r="H263" s="42"/>
      <c r="I263" s="42"/>
      <c r="J263" s="42"/>
      <c r="K263" s="42"/>
      <c r="L263" s="42"/>
      <c r="M263" s="42"/>
      <c r="N263" s="42"/>
      <c r="O263" s="375"/>
      <c r="P263" s="375"/>
      <c r="Q263" s="375"/>
      <c r="R263" s="16"/>
    </row>
    <row r="264" spans="1:18">
      <c r="A264" s="42"/>
      <c r="B264" s="42"/>
      <c r="C264" s="42"/>
      <c r="D264" s="42"/>
      <c r="E264" s="42"/>
      <c r="F264" s="42"/>
      <c r="G264" s="42"/>
      <c r="H264" s="42"/>
      <c r="I264" s="42"/>
      <c r="J264" s="42"/>
      <c r="K264" s="42"/>
      <c r="L264" s="42"/>
      <c r="M264" s="42"/>
      <c r="N264" s="42"/>
      <c r="O264" s="375"/>
      <c r="P264" s="375"/>
      <c r="Q264" s="375"/>
      <c r="R264" s="16"/>
    </row>
    <row r="265" spans="1:18">
      <c r="A265" s="42"/>
      <c r="B265" s="42"/>
      <c r="C265" s="42"/>
      <c r="D265" s="42"/>
      <c r="E265" s="42"/>
      <c r="F265" s="42"/>
      <c r="G265" s="42"/>
      <c r="H265" s="42"/>
      <c r="I265" s="42"/>
      <c r="J265" s="42"/>
      <c r="K265" s="42"/>
      <c r="L265" s="42"/>
      <c r="M265" s="42"/>
      <c r="N265" s="42"/>
      <c r="O265" s="375"/>
      <c r="P265" s="375"/>
      <c r="R265" s="375"/>
    </row>
    <row r="266" spans="1:18">
      <c r="A266" s="42"/>
      <c r="B266" s="42"/>
      <c r="C266" s="42"/>
      <c r="D266" s="42"/>
      <c r="E266" s="42"/>
      <c r="F266" s="42"/>
      <c r="G266" s="42"/>
      <c r="H266" s="42"/>
      <c r="I266" s="42"/>
      <c r="J266" s="42"/>
      <c r="K266" s="42"/>
      <c r="L266" s="42"/>
      <c r="M266" s="42"/>
      <c r="N266" s="42"/>
      <c r="O266" s="375"/>
      <c r="P266" s="375"/>
      <c r="Q266" s="375"/>
      <c r="R266" s="16"/>
    </row>
    <row r="267" spans="1:18">
      <c r="A267" s="42"/>
      <c r="B267" s="42"/>
      <c r="C267" s="42"/>
      <c r="D267" s="42"/>
      <c r="E267" s="42"/>
      <c r="F267" s="42"/>
      <c r="G267" s="42"/>
      <c r="H267" s="42"/>
      <c r="I267" s="42"/>
      <c r="J267" s="42"/>
      <c r="K267" s="42"/>
      <c r="L267" s="42"/>
      <c r="M267" s="42"/>
      <c r="N267" s="42"/>
      <c r="O267" s="375"/>
      <c r="P267" s="375"/>
      <c r="Q267" s="375"/>
      <c r="R267" s="16"/>
    </row>
    <row r="268" spans="1:18">
      <c r="A268" s="42"/>
      <c r="B268" s="42"/>
      <c r="C268" s="42"/>
      <c r="D268" s="42"/>
      <c r="E268" s="42"/>
      <c r="F268" s="42"/>
      <c r="G268" s="42"/>
      <c r="H268" s="42"/>
      <c r="I268" s="42"/>
      <c r="J268" s="42"/>
      <c r="K268" s="42"/>
      <c r="L268" s="42"/>
      <c r="M268" s="42"/>
      <c r="N268" s="42"/>
      <c r="O268" s="375"/>
      <c r="P268" s="375"/>
      <c r="Q268" s="375"/>
      <c r="R268" s="16"/>
    </row>
    <row r="269" spans="1:18">
      <c r="A269" s="84"/>
      <c r="B269" s="42"/>
      <c r="C269" s="42"/>
      <c r="D269" s="42"/>
      <c r="E269" s="42"/>
      <c r="F269" s="42"/>
      <c r="G269" s="42"/>
      <c r="H269" s="42"/>
      <c r="I269" s="42"/>
      <c r="J269" s="42"/>
      <c r="K269" s="42"/>
      <c r="L269" s="42"/>
      <c r="M269" s="42"/>
      <c r="N269" s="42"/>
      <c r="O269" s="375"/>
      <c r="P269" s="375"/>
      <c r="Q269" s="375"/>
      <c r="R269" s="16"/>
    </row>
    <row r="270" spans="1:18">
      <c r="A270" s="42"/>
      <c r="B270" s="42"/>
      <c r="C270" s="42"/>
      <c r="D270" s="42"/>
      <c r="E270" s="42"/>
      <c r="F270" s="42"/>
      <c r="G270" s="42"/>
      <c r="H270" s="42"/>
      <c r="I270" s="42"/>
      <c r="J270" s="42"/>
      <c r="K270" s="42"/>
      <c r="L270" s="42"/>
      <c r="M270" s="42"/>
      <c r="N270" s="42"/>
      <c r="O270" s="375"/>
      <c r="P270" s="375"/>
      <c r="Q270" s="375"/>
      <c r="R270" s="16"/>
    </row>
    <row r="271" spans="1:18">
      <c r="A271" s="42"/>
      <c r="B271" s="42"/>
      <c r="C271" s="42"/>
      <c r="D271" s="42"/>
      <c r="E271" s="42"/>
      <c r="F271" s="42"/>
      <c r="G271" s="42"/>
      <c r="H271" s="42"/>
      <c r="I271" s="42"/>
      <c r="J271" s="42"/>
      <c r="K271" s="42"/>
      <c r="L271" s="42"/>
      <c r="M271" s="42"/>
      <c r="N271" s="42"/>
      <c r="O271" s="375"/>
      <c r="P271" s="375"/>
      <c r="R271" s="375"/>
    </row>
    <row r="272" spans="1:18">
      <c r="A272" s="42"/>
      <c r="B272" s="42"/>
      <c r="C272" s="42"/>
      <c r="D272" s="42"/>
      <c r="E272" s="42"/>
      <c r="F272" s="42"/>
      <c r="G272" s="42"/>
      <c r="H272" s="42"/>
      <c r="I272" s="42"/>
      <c r="J272" s="42"/>
      <c r="K272" s="42"/>
      <c r="L272" s="42"/>
      <c r="M272" s="42"/>
      <c r="N272" s="42"/>
      <c r="O272" s="375"/>
      <c r="P272" s="375"/>
      <c r="Q272" s="375"/>
      <c r="R272" s="16"/>
    </row>
    <row r="273" spans="1:18">
      <c r="A273" s="42"/>
      <c r="B273" s="42"/>
      <c r="C273" s="42"/>
      <c r="D273" s="42"/>
      <c r="E273" s="42"/>
      <c r="F273" s="42"/>
      <c r="G273" s="42"/>
      <c r="H273" s="42"/>
      <c r="I273" s="42"/>
      <c r="J273" s="42"/>
      <c r="K273" s="42"/>
      <c r="L273" s="42"/>
      <c r="M273" s="42"/>
      <c r="N273" s="42"/>
      <c r="O273" s="375"/>
      <c r="P273" s="375"/>
      <c r="Q273" s="375"/>
      <c r="R273" s="16"/>
    </row>
    <row r="274" spans="1:18">
      <c r="A274" s="42"/>
      <c r="B274" s="42"/>
      <c r="C274" s="42"/>
      <c r="D274" s="42"/>
      <c r="E274" s="42"/>
      <c r="F274" s="42"/>
      <c r="G274" s="42"/>
      <c r="H274" s="42"/>
      <c r="I274" s="42"/>
      <c r="J274" s="42"/>
      <c r="K274" s="42"/>
      <c r="L274" s="42"/>
      <c r="M274" s="42"/>
      <c r="N274" s="42"/>
      <c r="O274" s="375"/>
      <c r="P274" s="375"/>
      <c r="Q274" s="375"/>
      <c r="R274" s="16"/>
    </row>
    <row r="275" spans="1:18">
      <c r="A275" s="84"/>
      <c r="B275" s="42"/>
      <c r="C275" s="42"/>
      <c r="D275" s="42"/>
      <c r="E275" s="42"/>
      <c r="F275" s="42"/>
      <c r="G275" s="42"/>
      <c r="H275" s="42"/>
      <c r="I275" s="42"/>
      <c r="J275" s="42"/>
      <c r="K275" s="42"/>
      <c r="L275" s="42"/>
      <c r="M275" s="42"/>
      <c r="N275" s="42"/>
      <c r="O275" s="375"/>
      <c r="P275" s="375"/>
      <c r="Q275" s="375"/>
      <c r="R275" s="16"/>
    </row>
    <row r="276" spans="1:18">
      <c r="A276" s="42"/>
      <c r="B276" s="42"/>
      <c r="C276" s="42"/>
      <c r="D276" s="42"/>
      <c r="E276" s="42"/>
      <c r="F276" s="42"/>
      <c r="G276" s="42"/>
      <c r="H276" s="42"/>
      <c r="I276" s="42"/>
      <c r="J276" s="42"/>
      <c r="K276" s="42"/>
      <c r="L276" s="42"/>
      <c r="M276" s="42"/>
      <c r="N276" s="42"/>
      <c r="O276" s="375"/>
      <c r="P276" s="375"/>
      <c r="Q276" s="375"/>
      <c r="R276" s="16"/>
    </row>
    <row r="277" spans="1:18">
      <c r="A277" s="42"/>
      <c r="B277" s="42"/>
      <c r="C277" s="42"/>
      <c r="D277" s="42"/>
      <c r="E277" s="42"/>
      <c r="F277" s="42"/>
      <c r="G277" s="42"/>
      <c r="H277" s="42"/>
      <c r="I277" s="42"/>
      <c r="J277" s="42"/>
      <c r="K277" s="42"/>
      <c r="L277" s="42"/>
      <c r="M277" s="42"/>
      <c r="N277" s="42"/>
      <c r="O277" s="375"/>
      <c r="P277" s="375"/>
      <c r="R277" s="375"/>
    </row>
    <row r="278" spans="1:18">
      <c r="A278" s="42"/>
      <c r="B278" s="42"/>
      <c r="C278" s="42"/>
      <c r="D278" s="42"/>
      <c r="E278" s="42"/>
      <c r="F278" s="42"/>
      <c r="G278" s="42"/>
      <c r="H278" s="42"/>
      <c r="I278" s="42"/>
      <c r="J278" s="42"/>
      <c r="K278" s="42"/>
      <c r="L278" s="42"/>
      <c r="M278" s="42"/>
      <c r="N278" s="42"/>
      <c r="O278" s="375"/>
      <c r="P278" s="375"/>
      <c r="Q278" s="375"/>
      <c r="R278" s="16"/>
    </row>
    <row r="279" spans="1:18">
      <c r="A279" s="42"/>
      <c r="B279" s="42"/>
      <c r="C279" s="42"/>
      <c r="D279" s="42"/>
      <c r="E279" s="42"/>
      <c r="F279" s="42"/>
      <c r="G279" s="42"/>
      <c r="H279" s="42"/>
      <c r="I279" s="42"/>
      <c r="J279" s="42"/>
      <c r="K279" s="42"/>
      <c r="L279" s="42"/>
      <c r="M279" s="42"/>
      <c r="N279" s="42"/>
      <c r="O279" s="375"/>
      <c r="P279" s="375"/>
      <c r="Q279" s="375"/>
      <c r="R279" s="16"/>
    </row>
    <row r="280" spans="1:18">
      <c r="A280" s="42"/>
      <c r="B280" s="42"/>
      <c r="C280" s="42"/>
      <c r="D280" s="42"/>
      <c r="E280" s="42"/>
      <c r="F280" s="42"/>
      <c r="G280" s="42"/>
      <c r="H280" s="42"/>
      <c r="I280" s="42"/>
      <c r="J280" s="42"/>
      <c r="K280" s="42"/>
      <c r="L280" s="42"/>
      <c r="M280" s="42"/>
      <c r="N280" s="42"/>
      <c r="O280" s="375"/>
      <c r="P280" s="375"/>
      <c r="Q280" s="375"/>
      <c r="R280" s="16"/>
    </row>
    <row r="281" spans="1:18">
      <c r="A281" s="84"/>
      <c r="B281" s="42"/>
      <c r="C281" s="42"/>
      <c r="D281" s="42"/>
      <c r="E281" s="42"/>
      <c r="F281" s="42"/>
      <c r="G281" s="42"/>
      <c r="H281" s="42"/>
      <c r="I281" s="42"/>
      <c r="J281" s="42"/>
      <c r="K281" s="42"/>
      <c r="L281" s="42"/>
      <c r="M281" s="42"/>
      <c r="N281" s="42"/>
      <c r="O281" s="375"/>
      <c r="P281" s="375"/>
      <c r="Q281" s="375"/>
      <c r="R281" s="16"/>
    </row>
    <row r="282" spans="1:18">
      <c r="A282" s="42"/>
      <c r="B282" s="42"/>
      <c r="C282" s="42"/>
      <c r="D282" s="42"/>
      <c r="E282" s="42"/>
      <c r="F282" s="42"/>
      <c r="G282" s="42"/>
      <c r="H282" s="42"/>
      <c r="I282" s="42"/>
      <c r="J282" s="42"/>
      <c r="K282" s="42"/>
      <c r="L282" s="42"/>
      <c r="M282" s="42"/>
      <c r="N282" s="42"/>
      <c r="O282" s="375"/>
      <c r="P282" s="375"/>
      <c r="Q282" s="375"/>
      <c r="R282" s="16"/>
    </row>
    <row r="283" spans="1:18">
      <c r="A283" s="42"/>
      <c r="B283" s="42"/>
      <c r="C283" s="42"/>
      <c r="D283" s="42"/>
      <c r="E283" s="42"/>
      <c r="F283" s="42"/>
      <c r="G283" s="42"/>
      <c r="H283" s="42"/>
      <c r="I283" s="42"/>
      <c r="J283" s="42"/>
      <c r="K283" s="42"/>
      <c r="L283" s="42"/>
      <c r="M283" s="42"/>
      <c r="N283" s="42"/>
      <c r="O283" s="375"/>
      <c r="P283" s="375"/>
      <c r="R283" s="375"/>
    </row>
    <row r="284" spans="1:18">
      <c r="A284" s="42"/>
      <c r="B284" s="42"/>
      <c r="C284" s="42"/>
      <c r="D284" s="42"/>
      <c r="E284" s="42"/>
      <c r="F284" s="42"/>
      <c r="G284" s="42"/>
      <c r="H284" s="42"/>
      <c r="I284" s="42"/>
      <c r="J284" s="42"/>
      <c r="K284" s="42"/>
      <c r="L284" s="42"/>
      <c r="M284" s="42"/>
      <c r="N284" s="42"/>
      <c r="O284" s="375"/>
      <c r="P284" s="375"/>
      <c r="Q284" s="375"/>
      <c r="R284" s="16"/>
    </row>
    <row r="285" spans="1:18">
      <c r="A285" s="42"/>
      <c r="B285" s="42"/>
      <c r="C285" s="42"/>
      <c r="D285" s="42"/>
      <c r="E285" s="42"/>
      <c r="F285" s="42"/>
      <c r="G285" s="42"/>
      <c r="H285" s="42"/>
      <c r="I285" s="42"/>
      <c r="J285" s="42"/>
      <c r="K285" s="42"/>
      <c r="L285" s="42"/>
      <c r="M285" s="42"/>
      <c r="N285" s="42"/>
      <c r="O285" s="375"/>
      <c r="P285" s="375"/>
      <c r="Q285" s="375"/>
      <c r="R285" s="16"/>
    </row>
    <row r="286" spans="1:18">
      <c r="A286" s="42"/>
      <c r="B286" s="42"/>
      <c r="C286" s="42"/>
      <c r="D286" s="42"/>
      <c r="E286" s="42"/>
      <c r="F286" s="42"/>
      <c r="G286" s="42"/>
      <c r="H286" s="42"/>
      <c r="I286" s="42"/>
      <c r="J286" s="42"/>
      <c r="K286" s="42"/>
      <c r="L286" s="42"/>
      <c r="M286" s="42"/>
      <c r="N286" s="42"/>
      <c r="O286" s="375"/>
      <c r="P286" s="375"/>
      <c r="Q286" s="375"/>
      <c r="R286" s="16"/>
    </row>
    <row r="287" spans="1:18">
      <c r="A287" s="84"/>
      <c r="B287" s="42"/>
      <c r="C287" s="42"/>
      <c r="D287" s="42"/>
      <c r="E287" s="42"/>
      <c r="F287" s="42"/>
      <c r="G287" s="42"/>
      <c r="H287" s="42"/>
      <c r="I287" s="42"/>
      <c r="J287" s="42"/>
      <c r="K287" s="42"/>
      <c r="L287" s="42"/>
      <c r="M287" s="42"/>
      <c r="N287" s="42"/>
      <c r="O287" s="375"/>
      <c r="P287" s="375"/>
      <c r="Q287" s="375"/>
      <c r="R287" s="16"/>
    </row>
    <row r="288" spans="1:18">
      <c r="A288" s="42"/>
      <c r="B288" s="42"/>
      <c r="C288" s="42"/>
      <c r="D288" s="42"/>
      <c r="E288" s="42"/>
      <c r="F288" s="42"/>
      <c r="G288" s="42"/>
      <c r="H288" s="42"/>
      <c r="I288" s="42"/>
      <c r="J288" s="42"/>
      <c r="K288" s="42"/>
      <c r="L288" s="42"/>
      <c r="M288" s="42"/>
      <c r="N288" s="42"/>
      <c r="O288" s="375"/>
      <c r="P288" s="375"/>
      <c r="Q288" s="375"/>
      <c r="R288" s="16"/>
    </row>
    <row r="289" spans="1:18">
      <c r="A289" s="42"/>
      <c r="B289" s="42"/>
      <c r="C289" s="42"/>
      <c r="D289" s="42"/>
      <c r="E289" s="42"/>
      <c r="F289" s="42"/>
      <c r="G289" s="42"/>
      <c r="H289" s="42"/>
      <c r="I289" s="42"/>
      <c r="J289" s="42"/>
      <c r="K289" s="42"/>
      <c r="L289" s="42"/>
      <c r="M289" s="42"/>
      <c r="N289" s="42"/>
      <c r="O289" s="375"/>
      <c r="P289" s="375"/>
      <c r="R289" s="375"/>
    </row>
    <row r="290" spans="1:18">
      <c r="A290" s="42"/>
      <c r="B290" s="42"/>
      <c r="C290" s="42"/>
      <c r="D290" s="42"/>
      <c r="E290" s="42"/>
      <c r="F290" s="42"/>
      <c r="G290" s="42"/>
      <c r="H290" s="42"/>
      <c r="I290" s="42"/>
      <c r="J290" s="42"/>
      <c r="K290" s="42"/>
      <c r="L290" s="42"/>
      <c r="M290" s="42"/>
      <c r="N290" s="42"/>
      <c r="O290" s="375"/>
      <c r="P290" s="375"/>
      <c r="Q290" s="375"/>
      <c r="R290" s="16"/>
    </row>
    <row r="291" spans="1:18">
      <c r="A291" s="42"/>
      <c r="B291" s="42"/>
      <c r="C291" s="42"/>
      <c r="D291" s="42"/>
      <c r="E291" s="42"/>
      <c r="F291" s="42"/>
      <c r="G291" s="42"/>
      <c r="H291" s="42"/>
      <c r="I291" s="42"/>
      <c r="J291" s="42"/>
      <c r="K291" s="42"/>
      <c r="L291" s="42"/>
      <c r="M291" s="42"/>
      <c r="N291" s="42"/>
      <c r="O291" s="375"/>
      <c r="P291" s="375"/>
      <c r="Q291" s="375"/>
      <c r="R291" s="16"/>
    </row>
    <row r="292" spans="1:18">
      <c r="A292" s="41"/>
      <c r="B292" s="41"/>
      <c r="C292" s="41"/>
      <c r="D292" s="41"/>
      <c r="E292" s="41"/>
      <c r="F292" s="41"/>
      <c r="G292" s="41"/>
      <c r="H292" s="41"/>
      <c r="I292" s="41"/>
      <c r="J292" s="41"/>
      <c r="K292" s="41"/>
      <c r="L292" s="41"/>
      <c r="M292" s="41"/>
      <c r="N292" s="41"/>
      <c r="O292" s="16"/>
      <c r="P292" s="16"/>
      <c r="Q292" s="16"/>
      <c r="R292" s="16"/>
    </row>
    <row r="293" spans="1:18">
      <c r="A293" s="41"/>
      <c r="B293" s="41"/>
      <c r="C293" s="41"/>
      <c r="D293" s="41"/>
      <c r="E293" s="41"/>
      <c r="F293" s="41"/>
      <c r="G293" s="41"/>
      <c r="H293" s="41"/>
      <c r="I293" s="41"/>
      <c r="J293" s="41"/>
      <c r="K293" s="41"/>
      <c r="L293" s="41"/>
      <c r="M293" s="41"/>
      <c r="N293" s="41"/>
      <c r="O293" s="16"/>
      <c r="P293" s="16"/>
      <c r="Q293" s="16"/>
      <c r="R293" s="16"/>
    </row>
  </sheetData>
  <sheetProtection password="C9E9" sheet="1" objects="1" scenarios="1"/>
  <mergeCells count="61">
    <mergeCell ref="O4:O5"/>
    <mergeCell ref="N4:N5"/>
    <mergeCell ref="M4:M5"/>
    <mergeCell ref="L4:L5"/>
    <mergeCell ref="A43:O49"/>
    <mergeCell ref="B4:C5"/>
    <mergeCell ref="B9:C9"/>
    <mergeCell ref="F21:J21"/>
    <mergeCell ref="H4:H5"/>
    <mergeCell ref="D4:D5"/>
    <mergeCell ref="F4:G4"/>
    <mergeCell ref="I4:J4"/>
    <mergeCell ref="K4:K5"/>
    <mergeCell ref="B20:D20"/>
    <mergeCell ref="B7:C7"/>
    <mergeCell ref="B8:C8"/>
    <mergeCell ref="B30:C30"/>
    <mergeCell ref="A1:O1"/>
    <mergeCell ref="A2:O2"/>
    <mergeCell ref="A23:O23"/>
    <mergeCell ref="K24:K25"/>
    <mergeCell ref="J24:J25"/>
    <mergeCell ref="I24:I25"/>
    <mergeCell ref="H24:H25"/>
    <mergeCell ref="G24:G25"/>
    <mergeCell ref="F24:F25"/>
    <mergeCell ref="A24:A25"/>
    <mergeCell ref="B24:C25"/>
    <mergeCell ref="E24:E25"/>
    <mergeCell ref="D24:D25"/>
    <mergeCell ref="F20:G20"/>
    <mergeCell ref="A3:O3"/>
    <mergeCell ref="B36:C36"/>
    <mergeCell ref="B37:C37"/>
    <mergeCell ref="B38:C38"/>
    <mergeCell ref="B22:L22"/>
    <mergeCell ref="C40:D40"/>
    <mergeCell ref="B39:D39"/>
    <mergeCell ref="F39:G39"/>
    <mergeCell ref="B31:C31"/>
    <mergeCell ref="B32:C32"/>
    <mergeCell ref="B33:C33"/>
    <mergeCell ref="B34:C34"/>
    <mergeCell ref="B35:C35"/>
    <mergeCell ref="B26:C26"/>
    <mergeCell ref="B27:C27"/>
    <mergeCell ref="B28:C28"/>
    <mergeCell ref="B29:C29"/>
    <mergeCell ref="A4:A5"/>
    <mergeCell ref="E4:E5"/>
    <mergeCell ref="B19:C19"/>
    <mergeCell ref="B14:C14"/>
    <mergeCell ref="B15:C15"/>
    <mergeCell ref="B16:C16"/>
    <mergeCell ref="B17:C17"/>
    <mergeCell ref="B18:C18"/>
    <mergeCell ref="B10:C10"/>
    <mergeCell ref="B11:C11"/>
    <mergeCell ref="B12:C12"/>
    <mergeCell ref="B13:C13"/>
    <mergeCell ref="B6:C6"/>
  </mergeCells>
  <phoneticPr fontId="17" type="noConversion"/>
  <dataValidations count="5">
    <dataValidation type="list" allowBlank="1" showInputMessage="1" showErrorMessage="1" sqref="A6:A19 A26:A38">
      <formula1>Yes_No</formula1>
    </dataValidation>
    <dataValidation type="list" allowBlank="1" showInputMessage="1" showErrorMessage="1" sqref="G26:G38">
      <formula1>Required_Payment</formula1>
    </dataValidation>
    <dataValidation type="list" allowBlank="1" showInputMessage="1" showErrorMessage="1" sqref="G6:G19">
      <formula1>Interest_Rate_Type</formula1>
    </dataValidation>
    <dataValidation type="list" allowBlank="1" showInputMessage="1" showErrorMessage="1" sqref="I6:I19">
      <formula1>Repayment_Terms_Type</formula1>
    </dataValidation>
    <dataValidation type="list" allowBlank="1" showInputMessage="1" showErrorMessage="1" sqref="H20">
      <formula1>"4%,9%"</formula1>
    </dataValidation>
  </dataValidations>
  <printOptions horizontalCentered="1"/>
  <pageMargins left="0.5" right="0" top="0.5" bottom="0.3" header="0" footer="0"/>
  <pageSetup scale="74" firstPageNumber="16" orientation="landscape" horizontalDpi="525" verticalDpi="525" r:id="rId1"/>
  <headerFooter scaleWithDoc="0" alignWithMargins="0">
    <oddFooter>&amp;C&amp;9Page &amp;P of &amp;N&amp;R&amp;"Arial,Italic"&amp;9Universal Application - &amp;A</oddFooter>
  </headerFooter>
  <colBreaks count="1" manualBreakCount="1">
    <brk id="12" max="1048575" man="1"/>
  </col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pageSetUpPr fitToPage="1"/>
  </sheetPr>
  <dimension ref="A1:V116"/>
  <sheetViews>
    <sheetView showGridLines="0" zoomScaleNormal="100" zoomScaleSheetLayoutView="100" workbookViewId="0">
      <pane xSplit="1" ySplit="1" topLeftCell="B2" activePane="bottomRight" state="frozen"/>
      <selection activeCell="AF3" sqref="AF3:AJ3"/>
      <selection pane="topRight" activeCell="AF3" sqref="AF3:AJ3"/>
      <selection pane="bottomLeft" activeCell="AF3" sqref="AF3:AJ3"/>
      <selection pane="bottomRight"/>
    </sheetView>
  </sheetViews>
  <sheetFormatPr defaultColWidth="8.85546875" defaultRowHeight="12" customHeight="1"/>
  <cols>
    <col min="1" max="1" width="34.7109375" style="1230" customWidth="1" collapsed="1"/>
    <col min="2" max="3" width="11.5703125" style="1234" customWidth="1" collapsed="1"/>
    <col min="4" max="4" width="12.28515625" style="1234" customWidth="1" collapsed="1"/>
    <col min="5" max="6" width="12.140625" style="1234" customWidth="1" collapsed="1"/>
    <col min="7" max="7" width="37.7109375" style="1236" customWidth="1"/>
    <col min="8" max="8" width="8.85546875" style="1021"/>
    <col min="9" max="9" width="8.85546875" style="1021" collapsed="1"/>
    <col min="10" max="22" width="8.85546875" style="1021"/>
    <col min="23" max="16384" width="8.85546875" style="1021" collapsed="1"/>
  </cols>
  <sheetData>
    <row r="1" spans="1:7" s="1018" customFormat="1" ht="36.75" customHeight="1" thickBot="1">
      <c r="A1" s="2658" t="s">
        <v>1634</v>
      </c>
      <c r="B1" s="1239" t="s">
        <v>1638</v>
      </c>
      <c r="C1" s="1239" t="s">
        <v>1636</v>
      </c>
      <c r="D1" s="1239" t="s">
        <v>1637</v>
      </c>
      <c r="E1" s="1239" t="str">
        <f>IF('Dev Sources'!H20="","30% PVC for New Const/Rehab",IF('Dev Sources'!H20=0.09,"70% PVC for New Const/Rehab",IF('Dev Sources'!H20=0.04,"30% PVC for New Const/Rehab","N/A - No tax credits per Dev Sources")))</f>
        <v>30% PVC for New Const/Rehab</v>
      </c>
      <c r="F1" s="1240" t="str">
        <f>IF('Dev Sources'!H20="","30% PVC for Acquisition",IF('Dev Sources'!H20=0.09,"30% PVC for Acquisition",IF('Dev Sources'!H20=0.04,"30% PVC for Acquisition","N/A - No tax credits per Dev Sources")))</f>
        <v>30% PVC for Acquisition</v>
      </c>
      <c r="G1" s="1241" t="s">
        <v>1685</v>
      </c>
    </row>
    <row r="2" spans="1:7" s="1019" customFormat="1" ht="15" customHeight="1">
      <c r="A2" s="1237" t="s">
        <v>1418</v>
      </c>
      <c r="B2" s="1238"/>
      <c r="C2" s="1238"/>
      <c r="D2" s="1238"/>
      <c r="E2" s="1238"/>
      <c r="F2" s="1281"/>
      <c r="G2" s="1280"/>
    </row>
    <row r="3" spans="1:7" s="1019" customFormat="1" ht="15" customHeight="1">
      <c r="A3" s="1183" t="s">
        <v>1468</v>
      </c>
      <c r="B3" s="1184">
        <f>SUM(C3+D3)</f>
        <v>0</v>
      </c>
      <c r="C3" s="1185"/>
      <c r="D3" s="1185"/>
      <c r="E3" s="1186"/>
      <c r="F3" s="1221"/>
      <c r="G3" s="1276"/>
    </row>
    <row r="4" spans="1:7" s="1019" customFormat="1" ht="15" customHeight="1">
      <c r="A4" s="1183" t="s">
        <v>806</v>
      </c>
      <c r="B4" s="1184">
        <f>SUM(C4+D4)</f>
        <v>0</v>
      </c>
      <c r="C4" s="1185"/>
      <c r="D4" s="1185"/>
      <c r="E4" s="1186"/>
      <c r="F4" s="1221"/>
      <c r="G4" s="1276"/>
    </row>
    <row r="5" spans="1:7" s="1019" customFormat="1" ht="15" customHeight="1">
      <c r="A5" s="1183" t="s">
        <v>1419</v>
      </c>
      <c r="B5" s="1184">
        <f>SUM(C5+D5)</f>
        <v>0</v>
      </c>
      <c r="C5" s="1185"/>
      <c r="D5" s="1185"/>
      <c r="E5" s="1186"/>
      <c r="F5" s="1221"/>
      <c r="G5" s="1276"/>
    </row>
    <row r="6" spans="1:7" s="1019" customFormat="1" ht="15" customHeight="1">
      <c r="A6" s="1183" t="s">
        <v>1420</v>
      </c>
      <c r="B6" s="1184">
        <f>SUM(C6+D6)</f>
        <v>0</v>
      </c>
      <c r="C6" s="1185"/>
      <c r="D6" s="1185"/>
      <c r="E6" s="1186"/>
      <c r="F6" s="1221"/>
      <c r="G6" s="1276"/>
    </row>
    <row r="7" spans="1:7" s="1019" customFormat="1" ht="15" customHeight="1">
      <c r="A7" s="1187" t="s">
        <v>1469</v>
      </c>
      <c r="B7" s="1184">
        <f>SUM(C7:D7)</f>
        <v>0</v>
      </c>
      <c r="C7" s="1184">
        <f t="shared" ref="C7:D7" si="0">SUM(C3:C6)</f>
        <v>0</v>
      </c>
      <c r="D7" s="1184">
        <f t="shared" si="0"/>
        <v>0</v>
      </c>
      <c r="E7" s="1186"/>
      <c r="F7" s="1221"/>
      <c r="G7" s="1277"/>
    </row>
    <row r="8" spans="1:7" s="1019" customFormat="1" ht="15" customHeight="1">
      <c r="A8" s="1183" t="s">
        <v>1421</v>
      </c>
      <c r="B8" s="1184">
        <f>SUM(C8+D8)</f>
        <v>0</v>
      </c>
      <c r="C8" s="1185"/>
      <c r="D8" s="1185"/>
      <c r="E8" s="1186"/>
      <c r="F8" s="1222"/>
      <c r="G8" s="1276"/>
    </row>
    <row r="9" spans="1:7" s="1019" customFormat="1" ht="15" customHeight="1">
      <c r="A9" s="1183" t="s">
        <v>1470</v>
      </c>
      <c r="B9" s="1184">
        <f>SUM(C9+D9)</f>
        <v>0</v>
      </c>
      <c r="C9" s="1185"/>
      <c r="D9" s="1185"/>
      <c r="E9" s="1185"/>
      <c r="F9" s="1222"/>
      <c r="G9" s="1276"/>
    </row>
    <row r="10" spans="1:7" s="1019" customFormat="1" ht="15" customHeight="1">
      <c r="A10" s="1187" t="s">
        <v>1422</v>
      </c>
      <c r="B10" s="1184">
        <f>SUM(C10:D10)</f>
        <v>0</v>
      </c>
      <c r="C10" s="1184">
        <f t="shared" ref="C10:F10" si="1">SUM(C8:C9)</f>
        <v>0</v>
      </c>
      <c r="D10" s="1184">
        <f t="shared" si="1"/>
        <v>0</v>
      </c>
      <c r="E10" s="1186"/>
      <c r="F10" s="1223">
        <f t="shared" si="1"/>
        <v>0</v>
      </c>
      <c r="G10" s="1277"/>
    </row>
    <row r="11" spans="1:7" s="1019" customFormat="1" ht="15" customHeight="1">
      <c r="A11" s="1187" t="s">
        <v>1423</v>
      </c>
      <c r="B11" s="1184">
        <f t="shared" ref="B11:D11" si="2">SUM(B7+B10)</f>
        <v>0</v>
      </c>
      <c r="C11" s="1184">
        <f t="shared" si="2"/>
        <v>0</v>
      </c>
      <c r="D11" s="1184">
        <f t="shared" si="2"/>
        <v>0</v>
      </c>
      <c r="E11" s="1186"/>
      <c r="F11" s="1221"/>
      <c r="G11" s="1277"/>
    </row>
    <row r="12" spans="1:7" s="1019" customFormat="1" ht="15" customHeight="1">
      <c r="A12" s="1188" t="s">
        <v>1424</v>
      </c>
      <c r="B12" s="1184">
        <f>SUM(C12+D12)</f>
        <v>0</v>
      </c>
      <c r="C12" s="1185"/>
      <c r="D12" s="1185"/>
      <c r="E12" s="1185"/>
      <c r="F12" s="1222"/>
      <c r="G12" s="1276"/>
    </row>
    <row r="13" spans="1:7" s="1019" customFormat="1" ht="27.95" customHeight="1">
      <c r="A13" s="1183" t="s">
        <v>1425</v>
      </c>
      <c r="B13" s="1184">
        <f>SUM(C13+D13)</f>
        <v>0</v>
      </c>
      <c r="C13" s="1185"/>
      <c r="D13" s="1185"/>
      <c r="E13" s="1185"/>
      <c r="F13" s="1222"/>
      <c r="G13" s="1276"/>
    </row>
    <row r="14" spans="1:7" s="1019" customFormat="1" ht="15" customHeight="1">
      <c r="A14" s="1183" t="s">
        <v>1426</v>
      </c>
      <c r="B14" s="1184">
        <f>SUM(C14+D14)</f>
        <v>0</v>
      </c>
      <c r="C14" s="1185"/>
      <c r="D14" s="1185"/>
      <c r="E14" s="1186"/>
      <c r="F14" s="1221"/>
      <c r="G14" s="1276"/>
    </row>
    <row r="15" spans="1:7" s="1019" customFormat="1" ht="15" customHeight="1">
      <c r="A15" s="1189" t="s">
        <v>1427</v>
      </c>
      <c r="B15" s="1190"/>
      <c r="C15" s="1190"/>
      <c r="D15" s="1190"/>
      <c r="E15" s="1190"/>
      <c r="F15" s="1224"/>
      <c r="G15" s="1278"/>
    </row>
    <row r="16" spans="1:7" s="1019" customFormat="1" ht="15" customHeight="1">
      <c r="A16" s="1183" t="s">
        <v>807</v>
      </c>
      <c r="B16" s="1184">
        <f t="shared" ref="B16:B27" si="3">SUM(C16:D16)</f>
        <v>0</v>
      </c>
      <c r="C16" s="1185"/>
      <c r="D16" s="1185"/>
      <c r="E16" s="1185"/>
      <c r="F16" s="1222"/>
      <c r="G16" s="1276"/>
    </row>
    <row r="17" spans="1:7" s="1019" customFormat="1" ht="15" customHeight="1">
      <c r="A17" s="1183" t="s">
        <v>1428</v>
      </c>
      <c r="B17" s="1184">
        <f t="shared" si="3"/>
        <v>0</v>
      </c>
      <c r="C17" s="1185"/>
      <c r="D17" s="1185"/>
      <c r="E17" s="1185"/>
      <c r="F17" s="1222"/>
      <c r="G17" s="1276"/>
    </row>
    <row r="18" spans="1:7" s="1019" customFormat="1" ht="15" customHeight="1">
      <c r="A18" s="1183" t="s">
        <v>808</v>
      </c>
      <c r="B18" s="1184">
        <f t="shared" si="3"/>
        <v>0</v>
      </c>
      <c r="C18" s="1185"/>
      <c r="D18" s="1185"/>
      <c r="E18" s="1185"/>
      <c r="F18" s="1222"/>
      <c r="G18" s="1276"/>
    </row>
    <row r="19" spans="1:7" s="1019" customFormat="1" ht="15" customHeight="1">
      <c r="A19" s="1183" t="s">
        <v>809</v>
      </c>
      <c r="B19" s="1184">
        <f t="shared" si="3"/>
        <v>0</v>
      </c>
      <c r="C19" s="1185"/>
      <c r="D19" s="1185"/>
      <c r="E19" s="1185"/>
      <c r="F19" s="1222"/>
      <c r="G19" s="1276"/>
    </row>
    <row r="20" spans="1:7" s="1019" customFormat="1" ht="15" customHeight="1">
      <c r="A20" s="1183" t="s">
        <v>810</v>
      </c>
      <c r="B20" s="1184">
        <f t="shared" si="3"/>
        <v>0</v>
      </c>
      <c r="C20" s="1185"/>
      <c r="D20" s="1185"/>
      <c r="E20" s="1185"/>
      <c r="F20" s="1222"/>
      <c r="G20" s="1276"/>
    </row>
    <row r="21" spans="1:7" s="1019" customFormat="1" ht="15" customHeight="1">
      <c r="A21" s="1183" t="s">
        <v>1429</v>
      </c>
      <c r="B21" s="1184">
        <f t="shared" si="3"/>
        <v>0</v>
      </c>
      <c r="C21" s="1185"/>
      <c r="D21" s="1185"/>
      <c r="E21" s="1185"/>
      <c r="F21" s="1222"/>
      <c r="G21" s="1276"/>
    </row>
    <row r="22" spans="1:7" s="1019" customFormat="1" ht="15" customHeight="1">
      <c r="A22" s="1183" t="s">
        <v>812</v>
      </c>
      <c r="B22" s="1184">
        <f t="shared" si="3"/>
        <v>0</v>
      </c>
      <c r="C22" s="1185"/>
      <c r="D22" s="1185"/>
      <c r="E22" s="1185"/>
      <c r="F22" s="1222"/>
      <c r="G22" s="1276"/>
    </row>
    <row r="23" spans="1:7" s="1019" customFormat="1" ht="15" customHeight="1">
      <c r="A23" s="1192" t="s">
        <v>1430</v>
      </c>
      <c r="B23" s="1184">
        <f t="shared" si="3"/>
        <v>0</v>
      </c>
      <c r="C23" s="1185"/>
      <c r="D23" s="1185"/>
      <c r="E23" s="1185"/>
      <c r="F23" s="1222"/>
      <c r="G23" s="1276"/>
    </row>
    <row r="24" spans="1:7" s="1019" customFormat="1" ht="15" customHeight="1">
      <c r="A24" s="1192" t="s">
        <v>1430</v>
      </c>
      <c r="B24" s="1184">
        <f t="shared" ref="B24" si="4">SUM(C24:D24)</f>
        <v>0</v>
      </c>
      <c r="C24" s="1185"/>
      <c r="D24" s="1185"/>
      <c r="E24" s="1185"/>
      <c r="F24" s="1222"/>
      <c r="G24" s="1276"/>
    </row>
    <row r="25" spans="1:7" s="1019" customFormat="1" ht="15" customHeight="1">
      <c r="A25" s="1192" t="s">
        <v>1430</v>
      </c>
      <c r="B25" s="1184">
        <f t="shared" si="3"/>
        <v>0</v>
      </c>
      <c r="C25" s="1185"/>
      <c r="D25" s="1185"/>
      <c r="E25" s="1185"/>
      <c r="F25" s="1222"/>
      <c r="G25" s="1276"/>
    </row>
    <row r="26" spans="1:7" s="1019" customFormat="1" ht="15" customHeight="1">
      <c r="A26" s="1187" t="s">
        <v>811</v>
      </c>
      <c r="B26" s="1184">
        <f t="shared" si="3"/>
        <v>0</v>
      </c>
      <c r="C26" s="1184">
        <f>SUM(C16:C25)</f>
        <v>0</v>
      </c>
      <c r="D26" s="1184">
        <f>SUM(D16:D25)</f>
        <v>0</v>
      </c>
      <c r="E26" s="1184">
        <f>SUM(E16:E25)</f>
        <v>0</v>
      </c>
      <c r="F26" s="1223">
        <f>SUM(F16:F25)</f>
        <v>0</v>
      </c>
      <c r="G26" s="1277"/>
    </row>
    <row r="27" spans="1:7" s="1019" customFormat="1" ht="15" customHeight="1">
      <c r="A27" s="1187" t="s">
        <v>1431</v>
      </c>
      <c r="B27" s="1184">
        <f t="shared" si="3"/>
        <v>0</v>
      </c>
      <c r="C27" s="1185"/>
      <c r="D27" s="1185"/>
      <c r="E27" s="1185"/>
      <c r="F27" s="1222"/>
      <c r="G27" s="1276"/>
    </row>
    <row r="28" spans="1:7" s="1019" customFormat="1" ht="15" customHeight="1">
      <c r="A28" s="1189" t="s">
        <v>1432</v>
      </c>
      <c r="B28" s="1190"/>
      <c r="C28" s="1190"/>
      <c r="D28" s="1190"/>
      <c r="E28" s="1190"/>
      <c r="F28" s="1224"/>
      <c r="G28" s="1278"/>
    </row>
    <row r="29" spans="1:7" s="1019" customFormat="1" ht="15" customHeight="1">
      <c r="A29" s="1183" t="s">
        <v>807</v>
      </c>
      <c r="B29" s="1184">
        <f t="shared" ref="B29:B39" si="5">SUM(C29+D29)</f>
        <v>0</v>
      </c>
      <c r="C29" s="1185"/>
      <c r="D29" s="1185"/>
      <c r="E29" s="1185"/>
      <c r="F29" s="1222"/>
      <c r="G29" s="1276"/>
    </row>
    <row r="30" spans="1:7" s="1019" customFormat="1" ht="15" customHeight="1">
      <c r="A30" s="1183" t="s">
        <v>1428</v>
      </c>
      <c r="B30" s="1184">
        <f t="shared" si="5"/>
        <v>0</v>
      </c>
      <c r="C30" s="1185"/>
      <c r="D30" s="1185"/>
      <c r="E30" s="1185"/>
      <c r="F30" s="1222"/>
      <c r="G30" s="1276"/>
    </row>
    <row r="31" spans="1:7" s="1019" customFormat="1" ht="15" customHeight="1">
      <c r="A31" s="1183" t="s">
        <v>808</v>
      </c>
      <c r="B31" s="1184">
        <f t="shared" si="5"/>
        <v>0</v>
      </c>
      <c r="C31" s="1185"/>
      <c r="D31" s="1185"/>
      <c r="E31" s="1185"/>
      <c r="F31" s="1222"/>
      <c r="G31" s="1276"/>
    </row>
    <row r="32" spans="1:7" s="1019" customFormat="1" ht="15" customHeight="1">
      <c r="A32" s="1183" t="s">
        <v>809</v>
      </c>
      <c r="B32" s="1184">
        <f t="shared" si="5"/>
        <v>0</v>
      </c>
      <c r="C32" s="1185"/>
      <c r="D32" s="1185"/>
      <c r="E32" s="1185"/>
      <c r="F32" s="1222"/>
      <c r="G32" s="1276"/>
    </row>
    <row r="33" spans="1:7" s="1019" customFormat="1" ht="15" customHeight="1">
      <c r="A33" s="1183" t="s">
        <v>810</v>
      </c>
      <c r="B33" s="1184">
        <f t="shared" si="5"/>
        <v>0</v>
      </c>
      <c r="C33" s="1185"/>
      <c r="D33" s="1185"/>
      <c r="E33" s="1185"/>
      <c r="F33" s="1222"/>
      <c r="G33" s="1276"/>
    </row>
    <row r="34" spans="1:7" s="1019" customFormat="1" ht="15" customHeight="1">
      <c r="A34" s="1183" t="s">
        <v>1429</v>
      </c>
      <c r="B34" s="1184">
        <f t="shared" si="5"/>
        <v>0</v>
      </c>
      <c r="C34" s="1185"/>
      <c r="D34" s="1185"/>
      <c r="E34" s="1185"/>
      <c r="F34" s="1222"/>
      <c r="G34" s="1276"/>
    </row>
    <row r="35" spans="1:7" s="1019" customFormat="1" ht="15" customHeight="1">
      <c r="A35" s="1183" t="s">
        <v>812</v>
      </c>
      <c r="B35" s="1184">
        <f t="shared" si="5"/>
        <v>0</v>
      </c>
      <c r="C35" s="1185"/>
      <c r="D35" s="1185"/>
      <c r="E35" s="1185"/>
      <c r="F35" s="1222"/>
      <c r="G35" s="1276"/>
    </row>
    <row r="36" spans="1:7" s="1019" customFormat="1" ht="15" customHeight="1">
      <c r="A36" s="1192" t="s">
        <v>1430</v>
      </c>
      <c r="B36" s="1184">
        <f t="shared" si="5"/>
        <v>0</v>
      </c>
      <c r="C36" s="1185"/>
      <c r="D36" s="1185"/>
      <c r="E36" s="1185"/>
      <c r="F36" s="1222"/>
      <c r="G36" s="1276"/>
    </row>
    <row r="37" spans="1:7" s="1019" customFormat="1" ht="15" customHeight="1">
      <c r="A37" s="1192" t="s">
        <v>1430</v>
      </c>
      <c r="B37" s="1184">
        <f t="shared" ref="B37" si="6">SUM(C37+D37)</f>
        <v>0</v>
      </c>
      <c r="C37" s="1185"/>
      <c r="D37" s="1185"/>
      <c r="E37" s="1185"/>
      <c r="F37" s="1222"/>
      <c r="G37" s="1276"/>
    </row>
    <row r="38" spans="1:7" s="1019" customFormat="1" ht="15" customHeight="1">
      <c r="A38" s="1192" t="s">
        <v>1430</v>
      </c>
      <c r="B38" s="1184">
        <f t="shared" si="5"/>
        <v>0</v>
      </c>
      <c r="C38" s="1185"/>
      <c r="D38" s="1185"/>
      <c r="E38" s="1185"/>
      <c r="F38" s="1222"/>
      <c r="G38" s="1276"/>
    </row>
    <row r="39" spans="1:7" s="1019" customFormat="1" ht="15" customHeight="1">
      <c r="A39" s="1187" t="s">
        <v>1433</v>
      </c>
      <c r="B39" s="1184">
        <f t="shared" si="5"/>
        <v>0</v>
      </c>
      <c r="C39" s="1184">
        <f>SUM(C29:C38)</f>
        <v>0</v>
      </c>
      <c r="D39" s="1184">
        <f>SUM(D29:D38)</f>
        <v>0</v>
      </c>
      <c r="E39" s="1184">
        <f>SUM(E29:E38)</f>
        <v>0</v>
      </c>
      <c r="F39" s="1223">
        <f>SUM(F29:F38)</f>
        <v>0</v>
      </c>
      <c r="G39" s="1277"/>
    </row>
    <row r="40" spans="1:7" s="1019" customFormat="1" ht="15" customHeight="1">
      <c r="A40" s="1189" t="s">
        <v>1434</v>
      </c>
      <c r="B40" s="1190"/>
      <c r="C40" s="1190"/>
      <c r="D40" s="1190"/>
      <c r="E40" s="1190"/>
      <c r="F40" s="1224"/>
      <c r="G40" s="1278"/>
    </row>
    <row r="41" spans="1:7" s="1019" customFormat="1" ht="15" customHeight="1">
      <c r="A41" s="1183" t="s">
        <v>813</v>
      </c>
      <c r="B41" s="1184">
        <f>SUM(C41+D41)</f>
        <v>0</v>
      </c>
      <c r="C41" s="1185"/>
      <c r="D41" s="1185"/>
      <c r="E41" s="1185"/>
      <c r="F41" s="1222"/>
      <c r="G41" s="1276"/>
    </row>
    <row r="42" spans="1:7" s="1019" customFormat="1" ht="15" customHeight="1">
      <c r="A42" s="1183" t="s">
        <v>814</v>
      </c>
      <c r="B42" s="1184">
        <f>SUM(C42+D42)</f>
        <v>0</v>
      </c>
      <c r="C42" s="1185"/>
      <c r="D42" s="1185"/>
      <c r="E42" s="1185"/>
      <c r="F42" s="1222"/>
      <c r="G42" s="1276"/>
    </row>
    <row r="43" spans="1:7" s="1019" customFormat="1" ht="15" customHeight="1">
      <c r="A43" s="1187" t="s">
        <v>815</v>
      </c>
      <c r="B43" s="1184">
        <f>SUM(C43:D43)</f>
        <v>0</v>
      </c>
      <c r="C43" s="1184">
        <f>SUM(C40:C42)</f>
        <v>0</v>
      </c>
      <c r="D43" s="1184">
        <f>SUM(D40:D42)</f>
        <v>0</v>
      </c>
      <c r="E43" s="1184">
        <f t="shared" ref="E43:F43" si="7">SUM(E41:E42)</f>
        <v>0</v>
      </c>
      <c r="F43" s="1223">
        <f t="shared" si="7"/>
        <v>0</v>
      </c>
      <c r="G43" s="1277"/>
    </row>
    <row r="44" spans="1:7" s="1019" customFormat="1" ht="15" customHeight="1">
      <c r="A44" s="1187" t="s">
        <v>378</v>
      </c>
      <c r="B44" s="1184">
        <f>SUM(C44:D44)</f>
        <v>0</v>
      </c>
      <c r="C44" s="1185"/>
      <c r="D44" s="1185"/>
      <c r="E44" s="1185"/>
      <c r="F44" s="1222"/>
      <c r="G44" s="1276"/>
    </row>
    <row r="45" spans="1:7" s="1019" customFormat="1" ht="15" customHeight="1">
      <c r="A45" s="1189" t="s">
        <v>1435</v>
      </c>
      <c r="B45" s="1190"/>
      <c r="C45" s="1190"/>
      <c r="D45" s="1190"/>
      <c r="E45" s="1190"/>
      <c r="F45" s="1224"/>
      <c r="G45" s="1278"/>
    </row>
    <row r="46" spans="1:7" s="1019" customFormat="1" ht="15" customHeight="1">
      <c r="A46" s="1183" t="s">
        <v>828</v>
      </c>
      <c r="B46" s="1184">
        <f t="shared" ref="B46:B56" si="8">SUM(C46+D46)</f>
        <v>0</v>
      </c>
      <c r="C46" s="1185"/>
      <c r="D46" s="1185"/>
      <c r="E46" s="1185"/>
      <c r="F46" s="1222"/>
      <c r="G46" s="1276"/>
    </row>
    <row r="47" spans="1:7" s="1019" customFormat="1" ht="15" customHeight="1">
      <c r="A47" s="1183" t="s">
        <v>818</v>
      </c>
      <c r="B47" s="1184">
        <f t="shared" si="8"/>
        <v>0</v>
      </c>
      <c r="C47" s="1185"/>
      <c r="D47" s="1185"/>
      <c r="E47" s="1185"/>
      <c r="F47" s="1222"/>
      <c r="G47" s="1276"/>
    </row>
    <row r="48" spans="1:7" s="1019" customFormat="1" ht="15" customHeight="1">
      <c r="A48" s="1183" t="s">
        <v>1436</v>
      </c>
      <c r="B48" s="1184">
        <f t="shared" si="8"/>
        <v>0</v>
      </c>
      <c r="C48" s="1185"/>
      <c r="D48" s="1185"/>
      <c r="E48" s="1185"/>
      <c r="F48" s="1222"/>
      <c r="G48" s="1276"/>
    </row>
    <row r="49" spans="1:7" s="1019" customFormat="1" ht="15" customHeight="1">
      <c r="A49" s="1183" t="s">
        <v>1437</v>
      </c>
      <c r="B49" s="1184">
        <f t="shared" si="8"/>
        <v>0</v>
      </c>
      <c r="C49" s="1185"/>
      <c r="D49" s="1185"/>
      <c r="E49" s="1185"/>
      <c r="F49" s="1222"/>
      <c r="G49" s="1276"/>
    </row>
    <row r="50" spans="1:7" s="1019" customFormat="1" ht="15" customHeight="1">
      <c r="A50" s="1183" t="s">
        <v>1650</v>
      </c>
      <c r="B50" s="1184">
        <f t="shared" si="8"/>
        <v>0</v>
      </c>
      <c r="C50" s="1185"/>
      <c r="D50" s="1185"/>
      <c r="E50" s="1185"/>
      <c r="F50" s="1222"/>
      <c r="G50" s="1276"/>
    </row>
    <row r="51" spans="1:7" s="1019" customFormat="1" ht="15" customHeight="1">
      <c r="A51" s="1183" t="s">
        <v>1438</v>
      </c>
      <c r="B51" s="1184">
        <f t="shared" si="8"/>
        <v>0</v>
      </c>
      <c r="C51" s="1185"/>
      <c r="D51" s="1185"/>
      <c r="E51" s="1185"/>
      <c r="F51" s="1222"/>
      <c r="G51" s="1276"/>
    </row>
    <row r="52" spans="1:7" s="1019" customFormat="1" ht="15" customHeight="1">
      <c r="A52" s="1183" t="s">
        <v>1439</v>
      </c>
      <c r="B52" s="1184">
        <f t="shared" si="8"/>
        <v>0</v>
      </c>
      <c r="C52" s="1185"/>
      <c r="D52" s="1185"/>
      <c r="E52" s="1185"/>
      <c r="F52" s="1222"/>
      <c r="G52" s="1276"/>
    </row>
    <row r="53" spans="1:7" s="1019" customFormat="1" ht="15" customHeight="1">
      <c r="A53" s="1183" t="s">
        <v>1440</v>
      </c>
      <c r="B53" s="1184">
        <f t="shared" si="8"/>
        <v>0</v>
      </c>
      <c r="C53" s="1185"/>
      <c r="D53" s="1185"/>
      <c r="E53" s="1185"/>
      <c r="F53" s="1222"/>
      <c r="G53" s="1276"/>
    </row>
    <row r="54" spans="1:7" s="1019" customFormat="1" ht="15" customHeight="1">
      <c r="A54" s="1192" t="s">
        <v>1430</v>
      </c>
      <c r="B54" s="1184">
        <f t="shared" ref="B54" si="9">SUM(C54+D54)</f>
        <v>0</v>
      </c>
      <c r="C54" s="1185"/>
      <c r="D54" s="1185"/>
      <c r="E54" s="1185"/>
      <c r="F54" s="1222"/>
      <c r="G54" s="1276"/>
    </row>
    <row r="55" spans="1:7" s="1019" customFormat="1" ht="15" customHeight="1">
      <c r="A55" s="1192" t="s">
        <v>1430</v>
      </c>
      <c r="B55" s="1184">
        <f t="shared" si="8"/>
        <v>0</v>
      </c>
      <c r="C55" s="1185"/>
      <c r="D55" s="1185"/>
      <c r="E55" s="1185"/>
      <c r="F55" s="1222"/>
      <c r="G55" s="1276"/>
    </row>
    <row r="56" spans="1:7" s="1019" customFormat="1" ht="15" customHeight="1">
      <c r="A56" s="1192" t="s">
        <v>1430</v>
      </c>
      <c r="B56" s="1184">
        <f t="shared" si="8"/>
        <v>0</v>
      </c>
      <c r="C56" s="1185"/>
      <c r="D56" s="1185"/>
      <c r="E56" s="1185"/>
      <c r="F56" s="1222"/>
      <c r="G56" s="1276"/>
    </row>
    <row r="57" spans="1:7" s="1020" customFormat="1" ht="15" customHeight="1">
      <c r="A57" s="1187" t="s">
        <v>1441</v>
      </c>
      <c r="B57" s="1193">
        <f>SUM(C57:D57)</f>
        <v>0</v>
      </c>
      <c r="C57" s="1184">
        <f>SUM(C46:C56)</f>
        <v>0</v>
      </c>
      <c r="D57" s="1184">
        <f>SUM(D46:D56)</f>
        <v>0</v>
      </c>
      <c r="E57" s="1184">
        <f>SUM(E46:E56)</f>
        <v>0</v>
      </c>
      <c r="F57" s="1223">
        <f>SUM(F46:F56)</f>
        <v>0</v>
      </c>
      <c r="G57" s="1279"/>
    </row>
    <row r="58" spans="1:7" s="1019" customFormat="1" ht="15" customHeight="1">
      <c r="A58" s="1189" t="s">
        <v>1442</v>
      </c>
      <c r="B58" s="1190"/>
      <c r="C58" s="1190"/>
      <c r="D58" s="1190"/>
      <c r="E58" s="1190"/>
      <c r="F58" s="1224"/>
      <c r="G58" s="1278"/>
    </row>
    <row r="59" spans="1:7" s="1019" customFormat="1" ht="15" customHeight="1">
      <c r="A59" s="1183" t="s">
        <v>1443</v>
      </c>
      <c r="B59" s="1184">
        <f t="shared" ref="B59:B65" si="10">SUM(C59+D59)</f>
        <v>0</v>
      </c>
      <c r="C59" s="1185"/>
      <c r="D59" s="1185"/>
      <c r="E59" s="1186"/>
      <c r="F59" s="1221"/>
      <c r="G59" s="1276"/>
    </row>
    <row r="60" spans="1:7" s="1019" customFormat="1" ht="15" customHeight="1">
      <c r="A60" s="1183" t="s">
        <v>1436</v>
      </c>
      <c r="B60" s="1184">
        <f t="shared" si="10"/>
        <v>0</v>
      </c>
      <c r="C60" s="1185"/>
      <c r="D60" s="1185"/>
      <c r="E60" s="1186"/>
      <c r="F60" s="1221"/>
      <c r="G60" s="1276"/>
    </row>
    <row r="61" spans="1:7" s="1019" customFormat="1" ht="15" customHeight="1">
      <c r="A61" s="1183" t="s">
        <v>1438</v>
      </c>
      <c r="B61" s="1184">
        <f t="shared" si="10"/>
        <v>0</v>
      </c>
      <c r="C61" s="1185"/>
      <c r="D61" s="1185"/>
      <c r="E61" s="1186"/>
      <c r="F61" s="1221"/>
      <c r="G61" s="1276"/>
    </row>
    <row r="62" spans="1:7" s="1019" customFormat="1" ht="15" customHeight="1">
      <c r="A62" s="1183" t="s">
        <v>1439</v>
      </c>
      <c r="B62" s="1184">
        <f t="shared" si="10"/>
        <v>0</v>
      </c>
      <c r="C62" s="1185"/>
      <c r="D62" s="1185"/>
      <c r="E62" s="1186"/>
      <c r="F62" s="1221"/>
      <c r="G62" s="1276"/>
    </row>
    <row r="63" spans="1:7" s="1019" customFormat="1" ht="15" customHeight="1">
      <c r="A63" s="1183" t="s">
        <v>1440</v>
      </c>
      <c r="B63" s="1184">
        <f t="shared" si="10"/>
        <v>0</v>
      </c>
      <c r="C63" s="1185"/>
      <c r="D63" s="1185"/>
      <c r="E63" s="1186"/>
      <c r="F63" s="1221"/>
      <c r="G63" s="1276"/>
    </row>
    <row r="64" spans="1:7" s="1019" customFormat="1" ht="15" customHeight="1">
      <c r="A64" s="1192" t="s">
        <v>1430</v>
      </c>
      <c r="B64" s="1184">
        <f t="shared" si="10"/>
        <v>0</v>
      </c>
      <c r="C64" s="1185"/>
      <c r="D64" s="1185"/>
      <c r="E64" s="1186"/>
      <c r="F64" s="1221"/>
      <c r="G64" s="1276"/>
    </row>
    <row r="65" spans="1:7" s="1019" customFormat="1" ht="15" customHeight="1">
      <c r="A65" s="1192" t="s">
        <v>1430</v>
      </c>
      <c r="B65" s="1184">
        <f t="shared" si="10"/>
        <v>0</v>
      </c>
      <c r="C65" s="1185"/>
      <c r="D65" s="1185"/>
      <c r="E65" s="1186"/>
      <c r="F65" s="1221"/>
      <c r="G65" s="1276"/>
    </row>
    <row r="66" spans="1:7" s="1019" customFormat="1" ht="15" customHeight="1">
      <c r="A66" s="1187" t="s">
        <v>1444</v>
      </c>
      <c r="B66" s="1184">
        <f>SUM(C66:D66)</f>
        <v>0</v>
      </c>
      <c r="C66" s="1184">
        <f t="shared" ref="C66:D66" si="11">SUM(C59:C65)</f>
        <v>0</v>
      </c>
      <c r="D66" s="1184">
        <f t="shared" si="11"/>
        <v>0</v>
      </c>
      <c r="E66" s="1186"/>
      <c r="F66" s="1221"/>
      <c r="G66" s="1276"/>
    </row>
    <row r="67" spans="1:7" s="1019" customFormat="1" ht="15" customHeight="1">
      <c r="A67" s="1194" t="s">
        <v>1445</v>
      </c>
      <c r="B67" s="1193">
        <f>SUM(C67:D67)</f>
        <v>0</v>
      </c>
      <c r="C67" s="1193">
        <f>SUM(C7+C10+C12+C13+C14+C26+C27+C39+C43+C44+C57+C66)</f>
        <v>0</v>
      </c>
      <c r="D67" s="1193">
        <f>SUM(D7+D10+D12+D13+D14+D26+D27+D39+D43+D44+D57+D66)</f>
        <v>0</v>
      </c>
      <c r="E67" s="1193">
        <f>SUM(E9+E12+E13+E14+E26+E27+E39+E43+E44+E57)</f>
        <v>0</v>
      </c>
      <c r="F67" s="1225">
        <f>SUM(F10+F12+F13+F14+F26+F27+F39+F43+F44+F57)</f>
        <v>0</v>
      </c>
      <c r="G67" s="1279"/>
    </row>
    <row r="68" spans="1:7" s="1019" customFormat="1" ht="15" customHeight="1">
      <c r="A68" s="1189" t="s">
        <v>819</v>
      </c>
      <c r="B68" s="1190"/>
      <c r="C68" s="1190"/>
      <c r="D68" s="1190"/>
      <c r="E68" s="1190"/>
      <c r="F68" s="1224"/>
      <c r="G68" s="1278"/>
    </row>
    <row r="69" spans="1:7" s="1019" customFormat="1" ht="15" customHeight="1">
      <c r="A69" s="1183" t="s">
        <v>1471</v>
      </c>
      <c r="B69" s="1184">
        <f>SUM(C69+D69)</f>
        <v>0</v>
      </c>
      <c r="C69" s="1185"/>
      <c r="D69" s="1185"/>
      <c r="E69" s="1185"/>
      <c r="F69" s="1222"/>
      <c r="G69" s="1276"/>
    </row>
    <row r="70" spans="1:7" s="1019" customFormat="1" ht="15" customHeight="1">
      <c r="A70" s="1192" t="s">
        <v>1430</v>
      </c>
      <c r="B70" s="1184">
        <f>SUM(C70+D70)</f>
        <v>0</v>
      </c>
      <c r="C70" s="1185"/>
      <c r="D70" s="1185"/>
      <c r="E70" s="1185"/>
      <c r="F70" s="1222"/>
      <c r="G70" s="1276"/>
    </row>
    <row r="71" spans="1:7" s="1019" customFormat="1" ht="15" customHeight="1">
      <c r="A71" s="1187" t="s">
        <v>1446</v>
      </c>
      <c r="B71" s="1184">
        <f>SUM(C71:D71)</f>
        <v>0</v>
      </c>
      <c r="C71" s="1184">
        <f>SUM(C68:C70)</f>
        <v>0</v>
      </c>
      <c r="D71" s="1184">
        <f>SUM(D68:D70)</f>
        <v>0</v>
      </c>
      <c r="E71" s="1184">
        <f t="shared" ref="E71:F71" si="12">SUM(E69:E70)</f>
        <v>0</v>
      </c>
      <c r="F71" s="1223">
        <f t="shared" si="12"/>
        <v>0</v>
      </c>
      <c r="G71" s="1279"/>
    </row>
    <row r="72" spans="1:7" s="1019" customFormat="1" ht="15" customHeight="1">
      <c r="A72" s="1189" t="s">
        <v>1447</v>
      </c>
      <c r="B72" s="1191"/>
      <c r="C72" s="1191"/>
      <c r="D72" s="1191"/>
      <c r="E72" s="1191"/>
      <c r="F72" s="1226"/>
      <c r="G72" s="1278"/>
    </row>
    <row r="73" spans="1:7" s="1019" customFormat="1" ht="15" customHeight="1">
      <c r="A73" s="1183" t="s">
        <v>1448</v>
      </c>
      <c r="B73" s="1184">
        <f>SUM(C73+D73)</f>
        <v>0</v>
      </c>
      <c r="C73" s="1185"/>
      <c r="D73" s="1185"/>
      <c r="E73" s="1186"/>
      <c r="F73" s="1221"/>
      <c r="G73" s="1276"/>
    </row>
    <row r="74" spans="1:7" s="1019" customFormat="1" ht="15" customHeight="1">
      <c r="A74" s="1183" t="s">
        <v>1449</v>
      </c>
      <c r="B74" s="1184">
        <f>SUM(C74+D74)</f>
        <v>0</v>
      </c>
      <c r="C74" s="1185"/>
      <c r="D74" s="1185"/>
      <c r="E74" s="1186"/>
      <c r="F74" s="1221"/>
      <c r="G74" s="1276"/>
    </row>
    <row r="75" spans="1:7" s="1019" customFormat="1" ht="15" customHeight="1">
      <c r="A75" s="1188" t="s">
        <v>1672</v>
      </c>
      <c r="B75" s="1184">
        <f>SUM(C75+D75)</f>
        <v>0</v>
      </c>
      <c r="C75" s="1185"/>
      <c r="D75" s="1185"/>
      <c r="E75" s="1186"/>
      <c r="F75" s="1221"/>
      <c r="G75" s="1276"/>
    </row>
    <row r="76" spans="1:7" s="1019" customFormat="1" ht="15" customHeight="1">
      <c r="A76" s="1183" t="s">
        <v>1450</v>
      </c>
      <c r="B76" s="1184">
        <f>SUM(C76+D76)</f>
        <v>0</v>
      </c>
      <c r="C76" s="1185"/>
      <c r="D76" s="1185"/>
      <c r="E76" s="1186"/>
      <c r="F76" s="1221"/>
      <c r="G76" s="1276"/>
    </row>
    <row r="77" spans="1:7" s="1019" customFormat="1" ht="15" customHeight="1">
      <c r="A77" s="1192" t="s">
        <v>1430</v>
      </c>
      <c r="B77" s="1184">
        <f>SUM(C77+D77)</f>
        <v>0</v>
      </c>
      <c r="C77" s="1185"/>
      <c r="D77" s="1185"/>
      <c r="E77" s="1186"/>
      <c r="F77" s="1221"/>
      <c r="G77" s="1276"/>
    </row>
    <row r="78" spans="1:7" s="1019" customFormat="1" ht="15" customHeight="1">
      <c r="A78" s="1187" t="s">
        <v>1451</v>
      </c>
      <c r="B78" s="1184">
        <f>SUM(C78:D78)</f>
        <v>0</v>
      </c>
      <c r="C78" s="1184">
        <f t="shared" ref="C78:D78" si="13">SUM(C73:C77)</f>
        <v>0</v>
      </c>
      <c r="D78" s="1184">
        <f t="shared" si="13"/>
        <v>0</v>
      </c>
      <c r="E78" s="1186"/>
      <c r="F78" s="1221"/>
      <c r="G78" s="1279"/>
    </row>
    <row r="79" spans="1:7" s="1019" customFormat="1" ht="15" customHeight="1">
      <c r="A79" s="1189" t="s">
        <v>816</v>
      </c>
      <c r="B79" s="1191"/>
      <c r="C79" s="1191"/>
      <c r="D79" s="1191"/>
      <c r="E79" s="1191"/>
      <c r="F79" s="1226"/>
      <c r="G79" s="1278"/>
    </row>
    <row r="80" spans="1:7" s="1019" customFormat="1" ht="15" customHeight="1">
      <c r="A80" s="1183" t="s">
        <v>1452</v>
      </c>
      <c r="B80" s="1184">
        <f>SUM(C80+D80)</f>
        <v>0</v>
      </c>
      <c r="C80" s="1185"/>
      <c r="D80" s="1185"/>
      <c r="E80" s="1185"/>
      <c r="F80" s="1222"/>
      <c r="G80" s="1276"/>
    </row>
    <row r="81" spans="1:7" s="1019" customFormat="1" ht="15" customHeight="1">
      <c r="A81" s="1183" t="s">
        <v>1453</v>
      </c>
      <c r="B81" s="1184">
        <f>SUM(C81+D81)</f>
        <v>0</v>
      </c>
      <c r="C81" s="1185"/>
      <c r="D81" s="1185"/>
      <c r="E81" s="1185"/>
      <c r="F81" s="1222"/>
      <c r="G81" s="1276"/>
    </row>
    <row r="82" spans="1:7" s="1019" customFormat="1" ht="15" customHeight="1">
      <c r="A82" s="1187" t="s">
        <v>817</v>
      </c>
      <c r="B82" s="1184">
        <f>SUM(C82:D82)</f>
        <v>0</v>
      </c>
      <c r="C82" s="1195">
        <f>SUM(C80:C81)</f>
        <v>0</v>
      </c>
      <c r="D82" s="1195">
        <f t="shared" ref="D82:F82" si="14">SUM(D80:D81)</f>
        <v>0</v>
      </c>
      <c r="E82" s="1195">
        <f t="shared" si="14"/>
        <v>0</v>
      </c>
      <c r="F82" s="1227">
        <f t="shared" si="14"/>
        <v>0</v>
      </c>
      <c r="G82" s="1279"/>
    </row>
    <row r="83" spans="1:7" s="1019" customFormat="1" ht="15" customHeight="1">
      <c r="A83" s="1189" t="s">
        <v>1454</v>
      </c>
      <c r="B83" s="1191"/>
      <c r="C83" s="1191"/>
      <c r="D83" s="1191"/>
      <c r="E83" s="1191"/>
      <c r="F83" s="1226"/>
      <c r="G83" s="1278"/>
    </row>
    <row r="84" spans="1:7" s="1019" customFormat="1" ht="15" customHeight="1">
      <c r="A84" s="1183" t="s">
        <v>1455</v>
      </c>
      <c r="B84" s="1184">
        <f>SUM(C84+D84)</f>
        <v>0</v>
      </c>
      <c r="C84" s="1185"/>
      <c r="D84" s="1185"/>
      <c r="E84" s="1186"/>
      <c r="F84" s="1221"/>
      <c r="G84" s="1276"/>
    </row>
    <row r="85" spans="1:7" s="1019" customFormat="1" ht="15" customHeight="1">
      <c r="A85" s="1183" t="s">
        <v>1456</v>
      </c>
      <c r="B85" s="1184">
        <f t="shared" ref="B85:B98" si="15">SUM(C85+D85)</f>
        <v>0</v>
      </c>
      <c r="C85" s="1185"/>
      <c r="D85" s="1185"/>
      <c r="E85" s="1185"/>
      <c r="F85" s="1222"/>
      <c r="G85" s="1276"/>
    </row>
    <row r="86" spans="1:7" s="1019" customFormat="1" ht="15" customHeight="1">
      <c r="A86" s="1183" t="s">
        <v>869</v>
      </c>
      <c r="B86" s="1184">
        <f t="shared" si="15"/>
        <v>0</v>
      </c>
      <c r="C86" s="1185"/>
      <c r="D86" s="1185"/>
      <c r="E86" s="1185"/>
      <c r="F86" s="1222"/>
      <c r="G86" s="1276"/>
    </row>
    <row r="87" spans="1:7" s="1019" customFormat="1" ht="15" customHeight="1">
      <c r="A87" s="1183" t="s">
        <v>1457</v>
      </c>
      <c r="B87" s="1184">
        <f t="shared" si="15"/>
        <v>0</v>
      </c>
      <c r="C87" s="1185"/>
      <c r="D87" s="1185"/>
      <c r="E87" s="1185"/>
      <c r="F87" s="1222"/>
      <c r="G87" s="1276"/>
    </row>
    <row r="88" spans="1:7" s="1019" customFormat="1" ht="15" customHeight="1">
      <c r="A88" s="1183" t="s">
        <v>1458</v>
      </c>
      <c r="B88" s="1184">
        <f t="shared" si="15"/>
        <v>0</v>
      </c>
      <c r="C88" s="1185"/>
      <c r="D88" s="1185"/>
      <c r="E88" s="1185"/>
      <c r="F88" s="1222"/>
      <c r="G88" s="1276"/>
    </row>
    <row r="89" spans="1:7" s="1019" customFormat="1" ht="15" customHeight="1">
      <c r="A89" s="1183" t="s">
        <v>1459</v>
      </c>
      <c r="B89" s="1184">
        <f t="shared" si="15"/>
        <v>0</v>
      </c>
      <c r="C89" s="1185"/>
      <c r="D89" s="1185"/>
      <c r="E89" s="1186"/>
      <c r="F89" s="1221"/>
      <c r="G89" s="1276"/>
    </row>
    <row r="90" spans="1:7" s="1019" customFormat="1" ht="15" customHeight="1">
      <c r="A90" s="1183" t="s">
        <v>821</v>
      </c>
      <c r="B90" s="1184">
        <f t="shared" si="15"/>
        <v>0</v>
      </c>
      <c r="C90" s="1185"/>
      <c r="D90" s="1185"/>
      <c r="E90" s="1185"/>
      <c r="F90" s="1222"/>
      <c r="G90" s="1276"/>
    </row>
    <row r="91" spans="1:7" s="1019" customFormat="1" ht="15" customHeight="1">
      <c r="A91" s="1183" t="s">
        <v>820</v>
      </c>
      <c r="B91" s="1184">
        <f t="shared" si="15"/>
        <v>0</v>
      </c>
      <c r="C91" s="1185"/>
      <c r="D91" s="1185"/>
      <c r="E91" s="1185"/>
      <c r="F91" s="1222"/>
      <c r="G91" s="1276"/>
    </row>
    <row r="92" spans="1:7" s="1019" customFormat="1" ht="15" customHeight="1">
      <c r="A92" s="1196" t="s">
        <v>1460</v>
      </c>
      <c r="B92" s="1184">
        <f t="shared" si="15"/>
        <v>0</v>
      </c>
      <c r="C92" s="1185"/>
      <c r="D92" s="1185"/>
      <c r="E92" s="1185"/>
      <c r="F92" s="1222"/>
      <c r="G92" s="1276"/>
    </row>
    <row r="93" spans="1:7" s="1019" customFormat="1" ht="15" customHeight="1">
      <c r="A93" s="1196" t="s">
        <v>1461</v>
      </c>
      <c r="B93" s="1184">
        <f t="shared" si="15"/>
        <v>0</v>
      </c>
      <c r="C93" s="1185"/>
      <c r="D93" s="1185"/>
      <c r="E93" s="1185"/>
      <c r="F93" s="1222"/>
      <c r="G93" s="1276"/>
    </row>
    <row r="94" spans="1:7" s="1019" customFormat="1" ht="15" customHeight="1">
      <c r="A94" s="1192" t="s">
        <v>1430</v>
      </c>
      <c r="B94" s="1184">
        <f t="shared" ref="B94" si="16">SUM(C94+D94)</f>
        <v>0</v>
      </c>
      <c r="C94" s="1185"/>
      <c r="D94" s="1185"/>
      <c r="E94" s="1185"/>
      <c r="F94" s="1222"/>
      <c r="G94" s="1276"/>
    </row>
    <row r="95" spans="1:7" s="1019" customFormat="1" ht="15" customHeight="1">
      <c r="A95" s="1192" t="s">
        <v>1430</v>
      </c>
      <c r="B95" s="1184">
        <f t="shared" si="15"/>
        <v>0</v>
      </c>
      <c r="C95" s="1185"/>
      <c r="D95" s="1185"/>
      <c r="E95" s="1185"/>
      <c r="F95" s="1222"/>
      <c r="G95" s="1276"/>
    </row>
    <row r="96" spans="1:7" s="1019" customFormat="1" ht="15" customHeight="1">
      <c r="A96" s="1192" t="s">
        <v>1430</v>
      </c>
      <c r="B96" s="1184">
        <f t="shared" si="15"/>
        <v>0</v>
      </c>
      <c r="C96" s="1185"/>
      <c r="D96" s="1185"/>
      <c r="E96" s="1185"/>
      <c r="F96" s="1222"/>
      <c r="G96" s="1276"/>
    </row>
    <row r="97" spans="1:7" s="1019" customFormat="1" ht="15" customHeight="1">
      <c r="A97" s="1192" t="s">
        <v>1430</v>
      </c>
      <c r="B97" s="1184">
        <f t="shared" si="15"/>
        <v>0</v>
      </c>
      <c r="C97" s="1185"/>
      <c r="D97" s="1185"/>
      <c r="E97" s="1185"/>
      <c r="F97" s="1222"/>
      <c r="G97" s="1276"/>
    </row>
    <row r="98" spans="1:7" s="1019" customFormat="1" ht="15" customHeight="1">
      <c r="A98" s="1192" t="s">
        <v>1430</v>
      </c>
      <c r="B98" s="1184">
        <f t="shared" si="15"/>
        <v>0</v>
      </c>
      <c r="C98" s="1185"/>
      <c r="D98" s="1185"/>
      <c r="E98" s="1185"/>
      <c r="F98" s="1222"/>
      <c r="G98" s="1276"/>
    </row>
    <row r="99" spans="1:7" s="1019" customFormat="1" ht="15" customHeight="1">
      <c r="A99" s="1192" t="s">
        <v>1430</v>
      </c>
      <c r="B99" s="1184">
        <f>SUM(C99+D99)</f>
        <v>0</v>
      </c>
      <c r="C99" s="1185"/>
      <c r="D99" s="1185"/>
      <c r="E99" s="1185"/>
      <c r="F99" s="1222"/>
      <c r="G99" s="1276"/>
    </row>
    <row r="100" spans="1:7" s="1019" customFormat="1" ht="15" customHeight="1">
      <c r="A100" s="1187" t="s">
        <v>822</v>
      </c>
      <c r="B100" s="1184">
        <f>SUM(C100:D100)</f>
        <v>0</v>
      </c>
      <c r="C100" s="1184">
        <f>SUM(C84:C99)</f>
        <v>0</v>
      </c>
      <c r="D100" s="1184">
        <f>SUM(D84:D99)</f>
        <v>0</v>
      </c>
      <c r="E100" s="1184">
        <f>SUM(E85:E88,E90:E99)</f>
        <v>0</v>
      </c>
      <c r="F100" s="1223">
        <f>SUM(F85:F88,F90:F99)</f>
        <v>0</v>
      </c>
      <c r="G100" s="1277"/>
    </row>
    <row r="101" spans="1:7" s="1019" customFormat="1" ht="15" customHeight="1">
      <c r="A101" s="1187" t="s">
        <v>1462</v>
      </c>
      <c r="B101" s="1184">
        <f>SUM(C101:D101)</f>
        <v>0</v>
      </c>
      <c r="C101" s="1184">
        <f>SUM(C67+C71+C78+C82+C100)</f>
        <v>0</v>
      </c>
      <c r="D101" s="1184">
        <f>SUM(D67+D71+D78+D82+D100)</f>
        <v>0</v>
      </c>
      <c r="E101" s="1193">
        <f>SUM(+E67+E71+E82+E100)</f>
        <v>0</v>
      </c>
      <c r="F101" s="1225">
        <f>SUM(F67+F71+F82+F100)</f>
        <v>0</v>
      </c>
      <c r="G101" s="1279"/>
    </row>
    <row r="102" spans="1:7" s="1019" customFormat="1" ht="15" customHeight="1">
      <c r="A102" s="1189" t="s">
        <v>823</v>
      </c>
      <c r="B102" s="1191"/>
      <c r="C102" s="1191"/>
      <c r="D102" s="1191"/>
      <c r="E102" s="1191"/>
      <c r="F102" s="1226"/>
      <c r="G102" s="1278"/>
    </row>
    <row r="103" spans="1:7" s="1019" customFormat="1" ht="15" customHeight="1">
      <c r="A103" s="1183" t="s">
        <v>1463</v>
      </c>
      <c r="B103" s="1184">
        <f t="shared" ref="B103:B108" si="17">SUM(C103+D103)</f>
        <v>0</v>
      </c>
      <c r="C103" s="1185"/>
      <c r="D103" s="1185"/>
      <c r="E103" s="1185"/>
      <c r="F103" s="1222"/>
      <c r="G103" s="1276"/>
    </row>
    <row r="104" spans="1:7" s="1019" customFormat="1" ht="15" customHeight="1">
      <c r="A104" s="1183" t="s">
        <v>870</v>
      </c>
      <c r="B104" s="1184">
        <f t="shared" si="17"/>
        <v>0</v>
      </c>
      <c r="C104" s="1185"/>
      <c r="D104" s="1185"/>
      <c r="E104" s="1185"/>
      <c r="F104" s="1222"/>
      <c r="G104" s="1276"/>
    </row>
    <row r="105" spans="1:7" s="1019" customFormat="1" ht="15" customHeight="1">
      <c r="A105" s="1183" t="s">
        <v>825</v>
      </c>
      <c r="B105" s="1184">
        <f t="shared" si="17"/>
        <v>0</v>
      </c>
      <c r="C105" s="1185"/>
      <c r="D105" s="1185"/>
      <c r="E105" s="1185"/>
      <c r="F105" s="1222"/>
      <c r="G105" s="1276"/>
    </row>
    <row r="106" spans="1:7" s="1019" customFormat="1" ht="15" customHeight="1">
      <c r="A106" s="1183" t="s">
        <v>1464</v>
      </c>
      <c r="B106" s="1184">
        <f t="shared" si="17"/>
        <v>0</v>
      </c>
      <c r="C106" s="1185"/>
      <c r="D106" s="1185"/>
      <c r="E106" s="1185"/>
      <c r="F106" s="1222"/>
      <c r="G106" s="1276"/>
    </row>
    <row r="107" spans="1:7" s="1019" customFormat="1" ht="15" customHeight="1">
      <c r="A107" s="1183" t="s">
        <v>1465</v>
      </c>
      <c r="B107" s="1184">
        <f t="shared" si="17"/>
        <v>0</v>
      </c>
      <c r="C107" s="1185"/>
      <c r="D107" s="1185"/>
      <c r="E107" s="1185"/>
      <c r="F107" s="1222"/>
      <c r="G107" s="1276"/>
    </row>
    <row r="108" spans="1:7" s="1019" customFormat="1" ht="15" customHeight="1">
      <c r="A108" s="1192" t="s">
        <v>1430</v>
      </c>
      <c r="B108" s="1184">
        <f t="shared" si="17"/>
        <v>0</v>
      </c>
      <c r="C108" s="1185"/>
      <c r="D108" s="1185"/>
      <c r="E108" s="1185"/>
      <c r="F108" s="1222"/>
      <c r="G108" s="1276"/>
    </row>
    <row r="109" spans="1:7" s="1019" customFormat="1" ht="15" customHeight="1">
      <c r="A109" s="1187" t="s">
        <v>826</v>
      </c>
      <c r="B109" s="1184">
        <f>SUM(C109:D109)</f>
        <v>0</v>
      </c>
      <c r="C109" s="1184">
        <f t="shared" ref="C109:F109" si="18">SUM(C103:C108)</f>
        <v>0</v>
      </c>
      <c r="D109" s="1184">
        <f t="shared" si="18"/>
        <v>0</v>
      </c>
      <c r="E109" s="1193">
        <f t="shared" si="18"/>
        <v>0</v>
      </c>
      <c r="F109" s="1225">
        <f t="shared" si="18"/>
        <v>0</v>
      </c>
      <c r="G109" s="1231"/>
    </row>
    <row r="110" spans="1:7" s="1019" customFormat="1" ht="15" customHeight="1">
      <c r="A110" s="1187" t="s">
        <v>1466</v>
      </c>
      <c r="B110" s="1193">
        <f>SUM(C110:D110)</f>
        <v>0</v>
      </c>
      <c r="C110" s="1193">
        <f t="shared" ref="C110:D110" si="19">SUM(C101+C109)</f>
        <v>0</v>
      </c>
      <c r="D110" s="1193">
        <f t="shared" si="19"/>
        <v>0</v>
      </c>
      <c r="E110" s="1193">
        <f>E101+E109</f>
        <v>0</v>
      </c>
      <c r="F110" s="1225">
        <f>F101+F109</f>
        <v>0</v>
      </c>
      <c r="G110" s="1231"/>
    </row>
    <row r="111" spans="1:7" s="1019" customFormat="1" ht="15" customHeight="1">
      <c r="A111" s="1197" t="s">
        <v>1635</v>
      </c>
      <c r="B111" s="1198"/>
      <c r="C111" s="1199"/>
      <c r="D111" s="1200" t="s">
        <v>1467</v>
      </c>
      <c r="E111" s="1193">
        <f>E110</f>
        <v>0</v>
      </c>
      <c r="F111" s="1225">
        <f>F110</f>
        <v>0</v>
      </c>
      <c r="G111" s="1231"/>
    </row>
    <row r="112" spans="1:7" s="1019" customFormat="1" ht="15" customHeight="1" thickBot="1">
      <c r="A112" s="1201"/>
      <c r="B112" s="1202"/>
      <c r="C112" s="1202"/>
      <c r="D112" s="1202"/>
      <c r="E112" s="1203" t="s">
        <v>165</v>
      </c>
      <c r="F112" s="1228">
        <f>SUM(E111:F111)</f>
        <v>0</v>
      </c>
      <c r="G112" s="1232"/>
    </row>
    <row r="113" spans="1:7" s="1216" customFormat="1" ht="15" customHeight="1">
      <c r="A113" s="2096" t="s">
        <v>1644</v>
      </c>
      <c r="B113" s="2096"/>
      <c r="C113" s="2096"/>
      <c r="D113" s="2097"/>
      <c r="E113" s="1229">
        <f>B109</f>
        <v>0</v>
      </c>
      <c r="F113" s="1233"/>
      <c r="G113" s="1235"/>
    </row>
    <row r="114" spans="1:7" s="1216" customFormat="1" ht="15" customHeight="1">
      <c r="A114" s="2098" t="s">
        <v>1645</v>
      </c>
      <c r="B114" s="2098"/>
      <c r="C114" s="2098"/>
      <c r="D114" s="2095"/>
      <c r="E114" s="1217">
        <f>'Developer Fee'!H6</f>
        <v>0</v>
      </c>
      <c r="F114" s="1233"/>
      <c r="G114" s="1235"/>
    </row>
    <row r="115" spans="1:7" s="1216" customFormat="1" ht="15" customHeight="1">
      <c r="A115" s="2094" t="s">
        <v>1647</v>
      </c>
      <c r="B115" s="2094"/>
      <c r="C115" s="2094"/>
      <c r="D115" s="2095"/>
      <c r="E115" s="1217">
        <f>IF(E113-E114-'Developer Fee'!I5&lt;=0,0,E113-E114-'Developer Fee'!I5)</f>
        <v>0</v>
      </c>
      <c r="F115" s="1233"/>
      <c r="G115" s="1235"/>
    </row>
    <row r="116" spans="1:7" s="1216" customFormat="1" ht="15" customHeight="1">
      <c r="A116" s="2094" t="s">
        <v>1646</v>
      </c>
      <c r="B116" s="2094"/>
      <c r="C116" s="2094"/>
      <c r="D116" s="2095"/>
      <c r="E116" s="1217">
        <f>'Developer Fee'!I5</f>
        <v>0</v>
      </c>
      <c r="F116" s="1233"/>
      <c r="G116" s="1235"/>
    </row>
  </sheetData>
  <sheetProtection password="C9E9" sheet="1" objects="1" scenarios="1" formatRows="0"/>
  <mergeCells count="4">
    <mergeCell ref="A116:D116"/>
    <mergeCell ref="A113:D113"/>
    <mergeCell ref="A114:D114"/>
    <mergeCell ref="A115:D115"/>
  </mergeCells>
  <printOptions horizontalCentered="1"/>
  <pageMargins left="0.5" right="0" top="0.5" bottom="0.3" header="0" footer="0"/>
  <pageSetup paperSize="5" scale="76" firstPageNumber="22" fitToHeight="2" orientation="portrait" r:id="rId1"/>
  <headerFooter scaleWithDoc="0" alignWithMargins="0">
    <oddFooter>&amp;C&amp;9Page &amp;P of &amp;N&amp;R&amp;"Arial,Italic"&amp;9Universal Application - &amp;A</oddFooter>
  </headerFooter>
  <rowBreaks count="1" manualBreakCount="1">
    <brk id="78" max="19" man="1"/>
  </rowBreaks>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autoPageBreaks="0" fitToPage="1"/>
  </sheetPr>
  <dimension ref="A1:U71"/>
  <sheetViews>
    <sheetView showGridLines="0" zoomScaleNormal="100" zoomScaleSheetLayoutView="100" workbookViewId="0">
      <selection sqref="A1:I1"/>
    </sheetView>
  </sheetViews>
  <sheetFormatPr defaultColWidth="8.7109375" defaultRowHeight="15" customHeight="1"/>
  <cols>
    <col min="1" max="1" width="3" style="1031" customWidth="1"/>
    <col min="2" max="2" width="10.28515625" style="1031" customWidth="1"/>
    <col min="3" max="3" width="22.42578125" style="1031" customWidth="1"/>
    <col min="4" max="4" width="13.7109375" style="1031" customWidth="1"/>
    <col min="5" max="5" width="11.85546875" style="1031" customWidth="1"/>
    <col min="6" max="6" width="26" style="1031" customWidth="1"/>
    <col min="7" max="9" width="13.28515625" style="1031" customWidth="1"/>
    <col min="10" max="10" width="8.5703125" style="1031" hidden="1" customWidth="1"/>
    <col min="11" max="11" width="23.5703125" style="1035" customWidth="1"/>
    <col min="12" max="15" width="23.5703125" style="1030" customWidth="1"/>
    <col min="16" max="16" width="23.5703125" style="1035" hidden="1" customWidth="1"/>
    <col min="17" max="20" width="23.5703125" style="1030" hidden="1" customWidth="1"/>
    <col min="21" max="229" width="8.7109375" style="1031" customWidth="1"/>
    <col min="230" max="16384" width="8.7109375" style="1031"/>
  </cols>
  <sheetData>
    <row r="1" spans="1:21" s="1148" customFormat="1" ht="21" customHeight="1">
      <c r="A1" s="2151" t="s">
        <v>1683</v>
      </c>
      <c r="B1" s="2152"/>
      <c r="C1" s="2152"/>
      <c r="D1" s="2152"/>
      <c r="E1" s="2152"/>
      <c r="F1" s="2152"/>
      <c r="G1" s="2152"/>
      <c r="H1" s="2152"/>
      <c r="I1" s="2153"/>
      <c r="J1" s="1145"/>
      <c r="K1" s="1146"/>
      <c r="L1" s="1147"/>
      <c r="M1" s="1147"/>
      <c r="N1" s="1147"/>
      <c r="O1" s="1147"/>
      <c r="P1" s="1146"/>
      <c r="Q1" s="1147"/>
      <c r="R1" s="1147"/>
      <c r="S1" s="1147"/>
      <c r="T1" s="1147"/>
    </row>
    <row r="2" spans="1:21" ht="22.5" customHeight="1">
      <c r="A2" s="2154" t="s">
        <v>1476</v>
      </c>
      <c r="B2" s="2155"/>
      <c r="C2" s="1220" t="s">
        <v>1639</v>
      </c>
      <c r="D2" s="2156" t="s">
        <v>1477</v>
      </c>
      <c r="E2" s="2157"/>
      <c r="F2" s="2635"/>
      <c r="G2" s="1029" t="s">
        <v>1478</v>
      </c>
      <c r="H2" s="2158"/>
      <c r="I2" s="2159"/>
      <c r="J2" s="1030"/>
      <c r="K2" s="1146"/>
      <c r="L2" s="1147"/>
      <c r="M2" s="1147"/>
      <c r="N2" s="1147"/>
      <c r="O2" s="1147"/>
      <c r="P2" s="1146"/>
      <c r="Q2" s="1147"/>
      <c r="R2" s="1147"/>
      <c r="S2" s="1147"/>
      <c r="T2" s="1147"/>
      <c r="U2" s="1148"/>
    </row>
    <row r="3" spans="1:21" ht="22.5" customHeight="1" thickBot="1">
      <c r="A3" s="2160" t="s">
        <v>1479</v>
      </c>
      <c r="B3" s="2161"/>
      <c r="C3" s="2162" t="str">
        <f>IF('General '!A45="","",'General '!A45)</f>
        <v/>
      </c>
      <c r="D3" s="2163"/>
      <c r="E3" s="2164"/>
      <c r="F3" s="1032" t="s">
        <v>1480</v>
      </c>
      <c r="G3" s="1033"/>
      <c r="H3" s="1033"/>
      <c r="I3" s="1034"/>
      <c r="J3" s="1030"/>
      <c r="K3" s="1030"/>
      <c r="L3" s="1147"/>
      <c r="M3" s="1147"/>
      <c r="N3" s="1147"/>
      <c r="O3" s="1147"/>
      <c r="P3" s="1030"/>
      <c r="Q3" s="1147"/>
      <c r="R3" s="1147"/>
      <c r="S3" s="1147"/>
      <c r="T3" s="1147"/>
    </row>
    <row r="4" spans="1:21" ht="22.5" customHeight="1">
      <c r="A4" s="2149" t="s">
        <v>1481</v>
      </c>
      <c r="B4" s="2150"/>
      <c r="C4" s="2150"/>
      <c r="D4" s="2150"/>
      <c r="E4" s="2150"/>
      <c r="F4" s="2150"/>
      <c r="G4" s="1204" t="s">
        <v>1641</v>
      </c>
      <c r="H4" s="1204" t="s">
        <v>1640</v>
      </c>
      <c r="I4" s="1208" t="str">
        <f>IF(OR(I5&lt;&gt;0,I6&lt;&gt;0,I7&lt;&gt;0),"Over/Under","")</f>
        <v/>
      </c>
      <c r="J4" s="1030"/>
      <c r="K4" s="1030"/>
      <c r="L4" s="1147"/>
      <c r="M4" s="1147"/>
      <c r="N4" s="1147"/>
      <c r="O4" s="1147"/>
      <c r="P4" s="1030"/>
      <c r="Q4" s="1147"/>
      <c r="R4" s="1147"/>
      <c r="S4" s="1147"/>
      <c r="T4" s="1147"/>
    </row>
    <row r="5" spans="1:21" ht="22.5" customHeight="1">
      <c r="A5" s="1177"/>
      <c r="B5" s="2147" t="str">
        <f>IF(LEFT(ProjectCredits,1)="9","Maximum Total Developer Fee - 1k","Maximum Total Developer Fee - 2g")</f>
        <v>Maximum Total Developer Fee - 2g</v>
      </c>
      <c r="C5" s="2147"/>
      <c r="D5" s="2147"/>
      <c r="E5" s="2147"/>
      <c r="F5" s="2147"/>
      <c r="G5" s="1205">
        <f>IF(LEFT(ProjectCredits,1)="9",I20,H35)</f>
        <v>0</v>
      </c>
      <c r="H5" s="1205">
        <f>H36</f>
        <v>0</v>
      </c>
      <c r="I5" s="1209">
        <f>IF(H5&gt;G5,H5-G5,0)</f>
        <v>0</v>
      </c>
      <c r="J5" s="1030"/>
      <c r="L5" s="1147"/>
      <c r="M5" s="1147"/>
      <c r="N5" s="1147"/>
      <c r="O5" s="1147"/>
      <c r="P5" s="1030"/>
      <c r="Q5" s="1147"/>
      <c r="R5" s="1147"/>
      <c r="S5" s="1147"/>
      <c r="T5" s="1147"/>
    </row>
    <row r="6" spans="1:21" ht="22.5" customHeight="1">
      <c r="A6" s="1178"/>
      <c r="B6" s="2147" t="str">
        <f>IF(LEFT(ProjectCredits,1)="9","Max Developer Fee payable from development funding sources - 1k","Max Developer Fee payable from development funding sources - lesser of 1k &amp; 2g")</f>
        <v>Max Developer Fee payable from development funding sources - lesser of 1k &amp; 2g</v>
      </c>
      <c r="C6" s="2147"/>
      <c r="D6" s="2147"/>
      <c r="E6" s="2147"/>
      <c r="F6" s="2147"/>
      <c r="G6" s="1206">
        <f>IF(LEFT(ProjectCredits,1)="9",I20,MIN(H35,I20))</f>
        <v>0</v>
      </c>
      <c r="H6" s="1206">
        <f>H37</f>
        <v>0</v>
      </c>
      <c r="I6" s="1210">
        <f>IF(H6&gt;G6,H6-G6,0)</f>
        <v>0</v>
      </c>
      <c r="J6" s="1030"/>
      <c r="K6" s="1030"/>
      <c r="L6" s="1147"/>
      <c r="M6" s="1147"/>
      <c r="N6" s="1147"/>
      <c r="O6" s="1147"/>
      <c r="P6" s="1030"/>
      <c r="Q6" s="1147"/>
      <c r="R6" s="1147"/>
      <c r="S6" s="1147"/>
      <c r="T6" s="1147"/>
    </row>
    <row r="7" spans="1:21" ht="22.5" customHeight="1" thickBot="1">
      <c r="A7" s="1179"/>
      <c r="B7" s="2148" t="s">
        <v>1642</v>
      </c>
      <c r="C7" s="2148"/>
      <c r="D7" s="2148"/>
      <c r="E7" s="2148"/>
      <c r="F7" s="2148"/>
      <c r="G7" s="1207">
        <f>H38</f>
        <v>0</v>
      </c>
      <c r="H7" s="1207">
        <f>H36-H37</f>
        <v>0</v>
      </c>
      <c r="I7" s="1211">
        <f>IF(H7&lt;G7,G7-H7,0)</f>
        <v>0</v>
      </c>
      <c r="J7" s="1030"/>
    </row>
    <row r="8" spans="1:21" ht="24.75" customHeight="1">
      <c r="A8" s="2119" t="str">
        <f>IF(ProjectCredits="","Section 1. UMR §8312(c)(1) - for all 4% Projects (project costs per TCAC 9% rules)",IF(LEFT(ProjectCredits,1)="4","Section 1. UMR §8312(c)(1) - for all 4% Projects (project costs per TCAC 9% rules)","Section 1. UMR §8312(b) - for all 9% Projects"))</f>
        <v>Section 1. UMR §8312(c)(1) - for all 4% Projects (project costs per TCAC 9% rules)</v>
      </c>
      <c r="B8" s="2120"/>
      <c r="C8" s="2120"/>
      <c r="D8" s="2120"/>
      <c r="E8" s="2120"/>
      <c r="F8" s="2120"/>
      <c r="G8" s="2120"/>
      <c r="H8" s="1036"/>
      <c r="I8" s="1037"/>
      <c r="J8" s="1038"/>
      <c r="K8" s="2138" t="str">
        <f>IF(ProjectCredits="none","","Instructions: where to find the data at Origination and Construction Close")</f>
        <v>Instructions: where to find the data at Origination and Construction Close</v>
      </c>
      <c r="L8" s="2139"/>
      <c r="M8" s="2139"/>
      <c r="N8" s="2139"/>
      <c r="O8" s="2140"/>
      <c r="P8" s="2138" t="str">
        <f>IF(ProjectCredits="none","","Instructions: where to find the data at Perm Close")</f>
        <v>Instructions: where to find the data at Perm Close</v>
      </c>
      <c r="Q8" s="2139"/>
      <c r="R8" s="2139"/>
      <c r="S8" s="2139"/>
      <c r="T8" s="2140"/>
    </row>
    <row r="9" spans="1:21" ht="27" customHeight="1">
      <c r="A9" s="1039" t="s">
        <v>1482</v>
      </c>
      <c r="B9" s="2141" t="s">
        <v>1483</v>
      </c>
      <c r="C9" s="2141"/>
      <c r="D9" s="2142" t="str">
        <f>IF(ProjectCredits="No Tax Credits","",MID(ProjectCredits,12,26))</f>
        <v/>
      </c>
      <c r="E9" s="2142"/>
      <c r="F9" s="1040"/>
      <c r="G9" s="1041"/>
      <c r="H9" s="1041"/>
      <c r="I9" s="1042">
        <f>IF(ProjectType="New Construction",2200000,2000000)</f>
        <v>2000000</v>
      </c>
      <c r="J9" s="1043"/>
      <c r="K9" s="1044" t="s">
        <v>1484</v>
      </c>
      <c r="L9" s="1044" t="s">
        <v>1485</v>
      </c>
      <c r="M9" s="1044" t="s">
        <v>1486</v>
      </c>
      <c r="N9" s="1044" t="s">
        <v>1487</v>
      </c>
      <c r="O9" s="1044" t="s">
        <v>1488</v>
      </c>
      <c r="P9" s="1045" t="s">
        <v>1489</v>
      </c>
      <c r="Q9" s="1045" t="s">
        <v>1485</v>
      </c>
      <c r="R9" s="1045" t="s">
        <v>1486</v>
      </c>
      <c r="S9" s="1045" t="s">
        <v>1487</v>
      </c>
      <c r="T9" s="1045" t="s">
        <v>1488</v>
      </c>
    </row>
    <row r="10" spans="1:21" ht="22.5" customHeight="1">
      <c r="A10" s="1039" t="s">
        <v>1490</v>
      </c>
      <c r="B10" s="2099" t="s">
        <v>1491</v>
      </c>
      <c r="C10" s="2099"/>
      <c r="D10" s="2099"/>
      <c r="E10" s="2099"/>
      <c r="F10" s="2099"/>
      <c r="G10" s="1175">
        <f>'Dev Budget'!E101+'Dev Budget'!F101</f>
        <v>0</v>
      </c>
      <c r="H10" s="1046" t="s">
        <v>1492</v>
      </c>
      <c r="I10" s="1047">
        <f>G10*0.15</f>
        <v>0</v>
      </c>
      <c r="J10" s="1043"/>
      <c r="K10" s="1048" t="s">
        <v>1493</v>
      </c>
      <c r="L10" s="1049" t="s">
        <v>1494</v>
      </c>
      <c r="M10" s="1049" t="s">
        <v>1673</v>
      </c>
      <c r="N10" s="1049" t="s">
        <v>1462</v>
      </c>
      <c r="O10" s="1144" t="str">
        <f>IF(LEFT(ProjectCredits,1)="9","70% PVC New Const/Rehab &amp; 30% PVC Acq.","30% PVC New Const/Rehab &amp; 30% PVC Acq.")</f>
        <v>30% PVC New Const/Rehab &amp; 30% PVC Acq.</v>
      </c>
      <c r="P10" s="1142" t="s">
        <v>1495</v>
      </c>
      <c r="Q10" s="2103" t="s">
        <v>1496</v>
      </c>
      <c r="R10" s="2104"/>
      <c r="S10" s="1142" t="str">
        <f>N10</f>
        <v>SUBTOTAL PROJECT COST</v>
      </c>
      <c r="T10" s="1142" t="str">
        <f>O10</f>
        <v>30% PVC New Const/Rehab &amp; 30% PVC Acq.</v>
      </c>
    </row>
    <row r="11" spans="1:21" ht="22.5" customHeight="1">
      <c r="A11" s="1039" t="s">
        <v>1497</v>
      </c>
      <c r="B11" s="2099" t="s">
        <v>1498</v>
      </c>
      <c r="C11" s="2099"/>
      <c r="D11" s="2099"/>
      <c r="E11" s="2099"/>
      <c r="F11" s="2099"/>
      <c r="G11" s="1176">
        <f>'Dev Budget'!D101</f>
        <v>0</v>
      </c>
      <c r="H11" s="1046" t="s">
        <v>1492</v>
      </c>
      <c r="I11" s="1047">
        <f>G11*0.15</f>
        <v>0</v>
      </c>
      <c r="J11" s="1043"/>
      <c r="K11" s="1048" t="str">
        <f>K10</f>
        <v>Universal Application</v>
      </c>
      <c r="L11" s="1049" t="str">
        <f>L10</f>
        <v>Dev Budget</v>
      </c>
      <c r="M11" s="1049" t="s">
        <v>1674</v>
      </c>
      <c r="N11" s="1050" t="s">
        <v>1462</v>
      </c>
      <c r="O11" s="1051" t="s">
        <v>1417</v>
      </c>
      <c r="P11" s="1142" t="str">
        <f>P10</f>
        <v>Final Cost Cert</v>
      </c>
      <c r="Q11" s="2103" t="s">
        <v>1499</v>
      </c>
      <c r="R11" s="2104"/>
      <c r="S11" s="1142" t="str">
        <f>N11</f>
        <v>SUBTOTAL PROJECT COST</v>
      </c>
      <c r="T11" s="1142" t="str">
        <f>O11</f>
        <v>COM'L. COST</v>
      </c>
    </row>
    <row r="12" spans="1:21" ht="22.5" customHeight="1">
      <c r="A12" s="1039" t="s">
        <v>1500</v>
      </c>
      <c r="B12" s="2143" t="str">
        <f>IF(ProjectType="New Construction","Base limit: amount that could be included in project costs under 9% rules - lesser of 1a or (1b + 1c.):","Max developer fee that could be included in project costs under 9% rules - lesser of 1a or (1b + 1c):")</f>
        <v>Max developer fee that could be included in project costs under 9% rules - lesser of 1a or (1b + 1c):</v>
      </c>
      <c r="C12" s="2143"/>
      <c r="D12" s="2143"/>
      <c r="E12" s="2143"/>
      <c r="F12" s="2143"/>
      <c r="G12" s="2143"/>
      <c r="H12" s="2143"/>
      <c r="I12" s="1052">
        <f>MIN(I9,I10+I11)</f>
        <v>0</v>
      </c>
      <c r="J12" s="1053"/>
    </row>
    <row r="13" spans="1:21" ht="22.5" customHeight="1">
      <c r="A13" s="2144" t="s">
        <v>1501</v>
      </c>
      <c r="B13" s="2145"/>
      <c r="C13" s="2145"/>
      <c r="D13" s="2145"/>
      <c r="E13" s="2145"/>
      <c r="F13" s="2146" t="str">
        <f>IF(ProjectCredits="4% Credits New Construction","Total Unadjusted Threshold Basis Limit","")</f>
        <v/>
      </c>
      <c r="G13" s="2146"/>
      <c r="H13" s="1054">
        <f>IF(ProjectCredits="4% Credits New Construction",'TBL and High Cost Test'!AO11,0)</f>
        <v>0</v>
      </c>
      <c r="I13" s="1055"/>
      <c r="J13" s="1056"/>
      <c r="K13" s="2132" t="s">
        <v>1502</v>
      </c>
      <c r="L13" s="2133"/>
      <c r="M13" s="2133"/>
      <c r="N13" s="2133"/>
      <c r="O13" s="2134"/>
      <c r="P13" s="2135" t="str">
        <f>K13</f>
        <v>Complete the 'TBL and High Cost Test' worksheet contained herein</v>
      </c>
      <c r="Q13" s="2136"/>
      <c r="R13" s="2136"/>
      <c r="S13" s="2136"/>
      <c r="T13" s="2137"/>
    </row>
    <row r="14" spans="1:21" ht="22.5" customHeight="1">
      <c r="A14" s="1039" t="s">
        <v>1503</v>
      </c>
      <c r="B14" s="2099" t="s">
        <v>1504</v>
      </c>
      <c r="C14" s="2099"/>
      <c r="D14" s="2099"/>
      <c r="E14" s="1041"/>
      <c r="F14" s="1041"/>
      <c r="G14" s="1057"/>
      <c r="I14" s="1042">
        <f ca="1">'TBL and High Cost Test'!AO51</f>
        <v>0</v>
      </c>
      <c r="J14" s="1149">
        <f>IF(ProjectCredits="4% Credits New Construction",H13*0.15,0)</f>
        <v>0</v>
      </c>
      <c r="K14" s="2132" t="s">
        <v>1502</v>
      </c>
      <c r="L14" s="2133"/>
      <c r="M14" s="2133"/>
      <c r="N14" s="2133"/>
      <c r="O14" s="2134"/>
      <c r="P14" s="2135" t="str">
        <f>K14</f>
        <v>Complete the 'TBL and High Cost Test' worksheet contained herein</v>
      </c>
      <c r="Q14" s="2136"/>
      <c r="R14" s="2136"/>
      <c r="S14" s="2136"/>
      <c r="T14" s="2137"/>
    </row>
    <row r="15" spans="1:21" ht="24.75" customHeight="1">
      <c r="A15" s="1039" t="s">
        <v>1628</v>
      </c>
      <c r="B15" s="2121" t="s">
        <v>1629</v>
      </c>
      <c r="C15" s="2121"/>
      <c r="D15" s="1175">
        <f>'Dev Budget'!F112</f>
        <v>0</v>
      </c>
      <c r="E15" s="2122" t="str">
        <f>IF(LEFT(ProjectCredits,1)="9","","4% EB reduced by Max DF in EB using 9% rules §10327(c)(2)(A)(i),(ii),(iii)")</f>
        <v>4% EB reduced by Max DF in EB using 9% rules §10327(c)(2)(A)(i),(ii),(iii)</v>
      </c>
      <c r="F15" s="2122"/>
      <c r="G15" s="2122"/>
      <c r="H15" s="1150" t="str">
        <f>IF(LEFT(ProjectCredits,1)="9",""," = f1 - f2 + f3")</f>
        <v xml:space="preserve"> = f1 - f2 + f3</v>
      </c>
      <c r="I15" s="1151">
        <f>IF(LEFT(ProjectCredits,1)="9",D15,D15-D16+H16)</f>
        <v>0</v>
      </c>
      <c r="J15" s="1149">
        <f>IF(ProjectCredits&lt;&gt;"4% Credits New Construction",0,IF(TotalUnits-MgrUnits&gt;300,1820000,IF(TotalUnits-MgrUnits&gt;250,1750000,IF(TotalUnits-MgrUnits&gt;200,1680000,1400000))))</f>
        <v>0</v>
      </c>
      <c r="K15" s="1048" t="str">
        <f>K10</f>
        <v>Universal Application</v>
      </c>
      <c r="L15" s="2123" t="s">
        <v>1675</v>
      </c>
      <c r="M15" s="2124"/>
      <c r="N15" s="2125"/>
      <c r="O15" s="1048" t="str">
        <f>O10</f>
        <v>30% PVC New Const/Rehab &amp; 30% PVC Acq.</v>
      </c>
      <c r="P15" s="1142" t="str">
        <f>P10</f>
        <v>Final Cost Cert</v>
      </c>
      <c r="Q15" s="2126" t="s">
        <v>1630</v>
      </c>
      <c r="R15" s="2126"/>
      <c r="S15" s="1142" t="s">
        <v>1506</v>
      </c>
      <c r="T15" s="1142" t="str">
        <f>O15</f>
        <v>30% PVC New Const/Rehab &amp; 30% PVC Acq.</v>
      </c>
    </row>
    <row r="16" spans="1:21" ht="24.75" customHeight="1">
      <c r="A16" s="1039" t="s">
        <v>1631</v>
      </c>
      <c r="B16" s="2121" t="str">
        <f>IF(ProjectCredits="9% Credits New Construction","","Developer Fee in Eligible Basis")</f>
        <v>Developer Fee in Eligible Basis</v>
      </c>
      <c r="C16" s="2121"/>
      <c r="D16" s="1176">
        <f>'Dev Budget'!E109+'Dev Budget'!F109</f>
        <v>0</v>
      </c>
      <c r="E16" s="2127" t="str">
        <f>IF(H16=J14,"f3. Max DF in EB using 9% rules §10327(c)(2)(A)(i),(ii),(iii) based on 15% of Unadjusted Threshold Basis Limit",IF(H16=J15,"f3. Max DF in EB using 9% rules §10327(c)(2)(A)(i),(ii),(iii) based on DF dollar limit of"&amp;TEXT(J15," $#,###"),"f3. Max DF in EB using 9% rules §10327(c)(2)(A)(i),(ii),(iii) based on Actual DF in EB"))</f>
        <v>f3. Max DF in EB using 9% rules §10327(c)(2)(A)(i),(ii),(iii) based on 15% of Unadjusted Threshold Basis Limit</v>
      </c>
      <c r="F16" s="2127"/>
      <c r="G16" s="2127"/>
      <c r="H16" s="1152">
        <f>MIN(D16,J14,J15)</f>
        <v>0</v>
      </c>
      <c r="I16" s="1153"/>
      <c r="K16" s="1048" t="str">
        <f>K11</f>
        <v>Universal Application</v>
      </c>
      <c r="L16" s="2123" t="s">
        <v>1676</v>
      </c>
      <c r="M16" s="2124"/>
      <c r="N16" s="2125"/>
      <c r="O16" s="1048" t="str">
        <f>O10</f>
        <v>30% PVC New Const/Rehab &amp; 30% PVC Acq.</v>
      </c>
      <c r="P16" s="1142" t="str">
        <f>P11</f>
        <v>Final Cost Cert</v>
      </c>
      <c r="Q16" s="2126" t="s">
        <v>1632</v>
      </c>
      <c r="R16" s="2126"/>
      <c r="S16" s="1142" t="s">
        <v>1506</v>
      </c>
      <c r="T16" s="1142" t="str">
        <f>O15</f>
        <v>30% PVC New Const/Rehab &amp; 30% PVC Acq.</v>
      </c>
    </row>
    <row r="17" spans="1:20" ht="22.5" customHeight="1">
      <c r="A17" s="1058" t="s">
        <v>1507</v>
      </c>
      <c r="B17" s="2128" t="s">
        <v>1508</v>
      </c>
      <c r="C17" s="2128"/>
      <c r="D17" s="2128"/>
      <c r="E17" s="1143" t="s">
        <v>1633</v>
      </c>
      <c r="F17" s="2129" t="str">
        <f ca="1">"= "&amp;TEXT(ROUND(I15,0)," $#,##0")&amp;" / "&amp;TEXT(ROUND(I14,0)," $#,##0")</f>
        <v>=  $0 /  $0</v>
      </c>
      <c r="G17" s="2129"/>
      <c r="H17" s="1059"/>
      <c r="I17" s="1154">
        <f ca="1">IF(I14=0,0,I15/I14)</f>
        <v>0</v>
      </c>
      <c r="J17" s="1060"/>
    </row>
    <row r="18" spans="1:20" ht="22.5" customHeight="1">
      <c r="A18" s="1039" t="s">
        <v>1509</v>
      </c>
      <c r="B18" s="2130" t="s">
        <v>1510</v>
      </c>
      <c r="C18" s="2130"/>
      <c r="D18" s="2130"/>
      <c r="E18" s="2130"/>
      <c r="F18" s="2130"/>
      <c r="G18" s="2131" t="s">
        <v>1511</v>
      </c>
      <c r="H18" s="2131"/>
      <c r="I18" s="1042">
        <f>IF(ProjectType="New Construction",ROUND((2-I17)*I12,0),I12)</f>
        <v>0</v>
      </c>
      <c r="J18" s="1060"/>
      <c r="K18" s="1061"/>
      <c r="L18" s="1062"/>
      <c r="M18" s="1063"/>
      <c r="N18" s="1063"/>
      <c r="O18" s="1063"/>
      <c r="P18" s="1061"/>
      <c r="Q18" s="1062"/>
      <c r="R18" s="1063"/>
      <c r="S18" s="1063"/>
      <c r="T18" s="1063"/>
    </row>
    <row r="19" spans="1:20" ht="22.5" customHeight="1">
      <c r="A19" s="1039" t="s">
        <v>1512</v>
      </c>
      <c r="B19" s="1138" t="s">
        <v>1513</v>
      </c>
      <c r="C19" s="1138"/>
      <c r="D19" s="1046"/>
      <c r="E19" s="1046"/>
      <c r="F19" s="1064"/>
      <c r="G19" s="1064"/>
      <c r="H19" s="2636"/>
      <c r="I19" s="1065"/>
      <c r="J19" s="1060"/>
      <c r="K19" s="1048" t="str">
        <f>K10</f>
        <v>Universal Application</v>
      </c>
      <c r="L19" s="1049" t="s">
        <v>499</v>
      </c>
      <c r="M19" s="2108" t="s">
        <v>1514</v>
      </c>
      <c r="N19" s="2101"/>
      <c r="O19" s="2102"/>
      <c r="P19" s="1142" t="str">
        <f>P10</f>
        <v>Final Cost Cert</v>
      </c>
      <c r="Q19" s="2109" t="s">
        <v>1515</v>
      </c>
      <c r="R19" s="2110"/>
      <c r="S19" s="2110"/>
      <c r="T19" s="2111"/>
    </row>
    <row r="20" spans="1:20" ht="22.5" customHeight="1" thickBot="1">
      <c r="A20" s="1066" t="s">
        <v>1516</v>
      </c>
      <c r="B20" s="1067" t="str">
        <f>IF(LEFT(ProjectCredits,1)="9","Maximum Total Developer Fee - UMR §8312(b); §8312(d)","Maximum Developer Fee payable from development funding sources - UMR §8312(c)(1); §8312(d)")</f>
        <v>Maximum Developer Fee payable from development funding sources - UMR §8312(c)(1); §8312(d)</v>
      </c>
      <c r="C20" s="1067"/>
      <c r="D20" s="1067"/>
      <c r="E20" s="1067"/>
      <c r="F20" s="1155"/>
      <c r="G20" s="1068"/>
      <c r="H20" s="1069"/>
      <c r="I20" s="1180">
        <f>+I18+H19</f>
        <v>0</v>
      </c>
      <c r="J20" s="1070"/>
    </row>
    <row r="21" spans="1:20" ht="8.1" customHeight="1" thickBot="1">
      <c r="A21" s="1039"/>
      <c r="B21" s="1071"/>
      <c r="C21" s="1072"/>
      <c r="D21" s="1072"/>
      <c r="E21" s="1072"/>
      <c r="F21" s="1073"/>
      <c r="G21" s="1072"/>
      <c r="H21" s="1074"/>
      <c r="I21" s="1075"/>
      <c r="J21" s="1076"/>
      <c r="K21" s="1077"/>
      <c r="L21" s="1062"/>
      <c r="M21" s="1063"/>
      <c r="N21" s="1063"/>
      <c r="O21" s="1063"/>
      <c r="P21" s="1077"/>
      <c r="Q21" s="1062"/>
      <c r="R21" s="1063"/>
      <c r="S21" s="1063"/>
      <c r="T21" s="1063"/>
    </row>
    <row r="22" spans="1:20" ht="22.5" customHeight="1">
      <c r="A22" s="2119" t="s">
        <v>1517</v>
      </c>
      <c r="B22" s="2120"/>
      <c r="C22" s="2120"/>
      <c r="D22" s="2120"/>
      <c r="E22" s="2120"/>
      <c r="F22" s="2120"/>
      <c r="G22" s="2120"/>
      <c r="H22" s="1137"/>
      <c r="I22" s="1078"/>
      <c r="J22" s="1038"/>
      <c r="K22" s="1079"/>
      <c r="P22" s="1079"/>
      <c r="Q22" s="1079"/>
    </row>
    <row r="23" spans="1:20" ht="22.5" customHeight="1">
      <c r="A23" s="1080"/>
      <c r="B23" s="1141" t="s">
        <v>1518</v>
      </c>
      <c r="C23" s="1056"/>
      <c r="D23" s="1056"/>
      <c r="E23" s="1056"/>
      <c r="F23" s="1056"/>
      <c r="G23" s="1056"/>
      <c r="H23" s="1056"/>
      <c r="I23" s="1081"/>
      <c r="J23" s="1056"/>
      <c r="K23" s="1082"/>
      <c r="L23" s="1062"/>
      <c r="M23" s="1063"/>
      <c r="N23" s="1063"/>
      <c r="O23" s="1063"/>
      <c r="P23" s="1082"/>
      <c r="Q23" s="1062"/>
      <c r="R23" s="1063"/>
      <c r="S23" s="1063"/>
      <c r="T23" s="1063"/>
    </row>
    <row r="24" spans="1:20" ht="22.5" customHeight="1">
      <c r="A24" s="1039" t="s">
        <v>1482</v>
      </c>
      <c r="B24" s="2099" t="str">
        <f>IF(OR(ProjectCredits="",ProjectCredits="4% Credits New Construction",ProjectCredits="4% Credits Rehabilitation"),"New Construction &amp; Rehab - Unadjusted Eligible Basis (exclude Dev Fee) - §10327(c)(2)(B)(i)","Not Applicable")</f>
        <v>New Construction &amp; Rehab - Unadjusted Eligible Basis (exclude Dev Fee) - §10327(c)(2)(B)(i)</v>
      </c>
      <c r="C24" s="2099"/>
      <c r="D24" s="2099"/>
      <c r="E24" s="2099"/>
      <c r="F24" s="2099"/>
      <c r="G24" s="1175">
        <f>'Dev Budget'!E101</f>
        <v>0</v>
      </c>
      <c r="H24" s="1046" t="s">
        <v>1492</v>
      </c>
      <c r="I24" s="1042">
        <f>G24*0.15</f>
        <v>0</v>
      </c>
      <c r="J24" s="1043"/>
      <c r="K24" s="1048" t="str">
        <f>K10</f>
        <v>Universal Application</v>
      </c>
      <c r="L24" s="1049" t="str">
        <f>L10</f>
        <v>Dev Budget</v>
      </c>
      <c r="M24" s="1049" t="s">
        <v>1677</v>
      </c>
      <c r="N24" s="1049" t="s">
        <v>1462</v>
      </c>
      <c r="O24" s="1083" t="s">
        <v>1519</v>
      </c>
      <c r="P24" s="1142" t="str">
        <f>P10</f>
        <v>Final Cost Cert</v>
      </c>
      <c r="Q24" s="2109" t="s">
        <v>1520</v>
      </c>
      <c r="R24" s="2110"/>
      <c r="S24" s="2110"/>
      <c r="T24" s="1084" t="s">
        <v>1521</v>
      </c>
    </row>
    <row r="25" spans="1:20" ht="22.5" customHeight="1">
      <c r="A25" s="1039" t="s">
        <v>1490</v>
      </c>
      <c r="B25" s="2099" t="str">
        <f>IF(OR(C2="",ProjectType="Acq. Rehabilitation",ProjectType="Adaptive Reuse"),"Acq/Rehab - Unadjusted Eligible Const. Related Basis (exclude Dev Fee) - §10327(c)(2)(B)(ii)","Not Applicable")</f>
        <v>Not Applicable</v>
      </c>
      <c r="C25" s="2099"/>
      <c r="D25" s="2099"/>
      <c r="E25" s="2099"/>
      <c r="F25" s="2099"/>
      <c r="G25" s="1175">
        <f>'Dev Budget'!E101</f>
        <v>0</v>
      </c>
      <c r="H25" s="1046" t="s">
        <v>1492</v>
      </c>
      <c r="I25" s="1085">
        <f>G25*0.15</f>
        <v>0</v>
      </c>
      <c r="J25" s="1043"/>
      <c r="K25" s="1048" t="s">
        <v>1493</v>
      </c>
      <c r="L25" s="1049" t="str">
        <f>L10</f>
        <v>Dev Budget</v>
      </c>
      <c r="M25" s="1049" t="s">
        <v>1677</v>
      </c>
      <c r="N25" s="1049" t="str">
        <f>N24</f>
        <v>SUBTOTAL PROJECT COST</v>
      </c>
      <c r="O25" s="1083" t="str">
        <f>O24</f>
        <v>30% PVC New Const/Rehab</v>
      </c>
      <c r="P25" s="1142" t="str">
        <f>P10</f>
        <v>Final Cost Cert</v>
      </c>
      <c r="Q25" s="2109" t="str">
        <f>Q24</f>
        <v>SUBTOTAL PROJECT COSTS</v>
      </c>
      <c r="R25" s="2110"/>
      <c r="S25" s="2110"/>
      <c r="T25" s="1084" t="str">
        <f>T24</f>
        <v xml:space="preserve"> 30% PVC for New Const/Rehab</v>
      </c>
    </row>
    <row r="26" spans="1:20" ht="23.45" customHeight="1">
      <c r="A26" s="1039" t="s">
        <v>1522</v>
      </c>
      <c r="B26" s="2099" t="str">
        <f>IF(OR(C2="",ProjectType="Acq. Rehabilitation",ProjectType="Adaptive Reuse"),"Acq/Rehab - at-risk development meeting the requirements of §10325(g)(4)? - §10327(c)(2)(B)(ii)","Not Applicable")</f>
        <v>Not Applicable</v>
      </c>
      <c r="C26" s="2099"/>
      <c r="D26" s="2099"/>
      <c r="E26" s="2099"/>
      <c r="F26" s="2099"/>
      <c r="G26" s="2099"/>
      <c r="H26" s="1214" t="str">
        <f>IF('General '!R55="","",'General '!R55)</f>
        <v/>
      </c>
      <c r="I26" s="1087"/>
      <c r="J26" s="1088"/>
      <c r="K26" s="1048" t="str">
        <f>IF(ProjectPhase="Construction Close","TCAC 4% Project Staff Report","Universal Application")</f>
        <v>Universal Application</v>
      </c>
      <c r="L26" s="1049" t="str">
        <f>IF(ProjectPhase="Construction Close","Information","General")</f>
        <v>General</v>
      </c>
      <c r="M26" s="1049" t="str">
        <f>IF(ProjectPhase="Construction Close","Housing Type","R55")</f>
        <v>R55</v>
      </c>
      <c r="N26" s="1049" t="s">
        <v>383</v>
      </c>
      <c r="O26" s="1049" t="str">
        <f>IF(ProjectPhase="Construction Close","","Yes/No")</f>
        <v>Yes/No</v>
      </c>
      <c r="P26" s="1142" t="s">
        <v>1523</v>
      </c>
      <c r="Q26" s="1142" t="s">
        <v>1524</v>
      </c>
      <c r="R26" s="1142" t="s">
        <v>1525</v>
      </c>
      <c r="S26" s="1142" t="s">
        <v>383</v>
      </c>
      <c r="T26" s="1142" t="s">
        <v>1526</v>
      </c>
    </row>
    <row r="27" spans="1:20" ht="23.45" customHeight="1">
      <c r="A27" s="1039" t="s">
        <v>1527</v>
      </c>
      <c r="B27" s="2099" t="str">
        <f>IF(AND(C2&lt;&gt;"",ProjectType&lt;&gt;"Acq. Rehabilitation"),"Not Applicable","Acq/Rehab - rehabilitation hard construction costs per unit at least $25,000 per unit? - §10327(c)(2)(B)(ii)")</f>
        <v>Not Applicable</v>
      </c>
      <c r="C27" s="2099"/>
      <c r="D27" s="2099"/>
      <c r="E27" s="2099"/>
      <c r="F27" s="2099"/>
      <c r="G27" s="2099"/>
      <c r="H27" s="1086"/>
      <c r="I27" s="1087"/>
      <c r="J27" s="1088"/>
      <c r="K27" s="1048" t="str">
        <f>K10</f>
        <v>Universal Application</v>
      </c>
      <c r="L27" s="1049" t="str">
        <f>L10</f>
        <v>Dev Budget</v>
      </c>
      <c r="M27" s="2100" t="s">
        <v>1678</v>
      </c>
      <c r="N27" s="2101"/>
      <c r="O27" s="2102"/>
      <c r="P27" s="1142" t="str">
        <f>P10</f>
        <v>Final Cost Cert</v>
      </c>
      <c r="Q27" s="2103" t="s">
        <v>1528</v>
      </c>
      <c r="R27" s="2107"/>
      <c r="S27" s="2107"/>
      <c r="T27" s="2104"/>
    </row>
    <row r="28" spans="1:20" ht="23.45" customHeight="1">
      <c r="A28" s="1039" t="s">
        <v>1529</v>
      </c>
      <c r="B28" s="2099" t="str">
        <f>IF(OR(C2="",ProjectType="Acq. Rehabilitation",ProjectType="Adaptive Reuse"),"Acq/Rehab-30% or more of units restricted to incomes and rents of 50% AMI or less? - §10327(c)(2)(B)(ii)","Not Applicable")</f>
        <v>Not Applicable</v>
      </c>
      <c r="C28" s="2099"/>
      <c r="D28" s="2099"/>
      <c r="E28" s="2099"/>
      <c r="F28" s="2099"/>
      <c r="G28" s="2099"/>
      <c r="H28" s="1086"/>
      <c r="I28" s="1089"/>
      <c r="J28" s="1088"/>
      <c r="K28" s="1048" t="str">
        <f>K10</f>
        <v>Universal Application</v>
      </c>
      <c r="L28" s="1049" t="s">
        <v>1530</v>
      </c>
      <c r="M28" s="2100" t="s">
        <v>1679</v>
      </c>
      <c r="N28" s="2101"/>
      <c r="O28" s="2102"/>
      <c r="P28" s="1142" t="s">
        <v>1523</v>
      </c>
      <c r="Q28" s="2103" t="s">
        <v>1531</v>
      </c>
      <c r="R28" s="2104"/>
      <c r="S28" s="2103" t="s">
        <v>1532</v>
      </c>
      <c r="T28" s="2104"/>
    </row>
    <row r="29" spans="1:20" ht="22.5" customHeight="1">
      <c r="A29" s="1039" t="s">
        <v>1533</v>
      </c>
      <c r="B29" s="2099" t="str">
        <f>IF(OR(C2="",ProjectType="Acq. Rehabilitation",ProjectType="Adaptive Reuse"),"Acq/Rehab - Unadj. Eligible Acq. Basis - §10327(c)(2)(B)(ii) = 15% if c1, c2 or c3 is Yes","Not Applicable")</f>
        <v>Not Applicable</v>
      </c>
      <c r="C29" s="2099"/>
      <c r="D29" s="2099"/>
      <c r="E29" s="2099"/>
      <c r="F29" s="2099"/>
      <c r="G29" s="1175">
        <f>'Dev Budget'!F101</f>
        <v>0</v>
      </c>
      <c r="H29" s="1090">
        <f>IF(OR(H26="Yes",H27="Yes",H28="Yes"),0.15,0.05)</f>
        <v>0.05</v>
      </c>
      <c r="I29" s="1042">
        <f>G29*H29</f>
        <v>0</v>
      </c>
      <c r="J29" s="1043"/>
      <c r="K29" s="1048" t="str">
        <f>K10</f>
        <v>Universal Application</v>
      </c>
      <c r="L29" s="1049" t="str">
        <f>L10</f>
        <v>Dev Budget</v>
      </c>
      <c r="M29" s="1049" t="s">
        <v>1680</v>
      </c>
      <c r="N29" s="1049" t="s">
        <v>1421</v>
      </c>
      <c r="O29" s="1083" t="s">
        <v>1534</v>
      </c>
      <c r="P29" s="1142" t="str">
        <f>P10</f>
        <v>Final Cost Cert</v>
      </c>
      <c r="Q29" s="2103" t="s">
        <v>1520</v>
      </c>
      <c r="R29" s="2107"/>
      <c r="S29" s="2107"/>
      <c r="T29" s="1142" t="s">
        <v>1535</v>
      </c>
    </row>
    <row r="30" spans="1:20" ht="22.5" customHeight="1" thickBot="1">
      <c r="A30" s="1091" t="s">
        <v>1500</v>
      </c>
      <c r="B30" s="1092" t="s">
        <v>1536</v>
      </c>
      <c r="C30" s="1093"/>
      <c r="D30" s="1093"/>
      <c r="E30" s="1093"/>
      <c r="F30" s="1093"/>
      <c r="G30" s="1093"/>
      <c r="H30" s="1094"/>
      <c r="I30" s="1095">
        <f>IF(OR(ProjectType="New Construction",ProjectType="Rehabilitation"),I24,I25+I29)</f>
        <v>0</v>
      </c>
      <c r="J30" s="1096"/>
    </row>
    <row r="31" spans="1:20" ht="22.5" customHeight="1">
      <c r="A31" s="1080"/>
      <c r="B31" s="1141" t="s">
        <v>1537</v>
      </c>
      <c r="C31" s="1056"/>
      <c r="D31" s="1056"/>
      <c r="E31" s="1056"/>
      <c r="F31" s="1056"/>
      <c r="G31" s="1056"/>
      <c r="H31" s="1056"/>
      <c r="I31" s="1081"/>
      <c r="J31" s="1056"/>
      <c r="K31" s="1097"/>
      <c r="P31" s="1097"/>
    </row>
    <row r="32" spans="1:20" ht="22.5" customHeight="1">
      <c r="A32" s="1039" t="s">
        <v>1503</v>
      </c>
      <c r="B32" s="1071" t="s">
        <v>1538</v>
      </c>
      <c r="I32" s="1065"/>
      <c r="K32" s="1098"/>
      <c r="L32" s="1062"/>
      <c r="M32" s="1063"/>
      <c r="N32" s="1063"/>
      <c r="O32" s="1063"/>
      <c r="P32" s="1098"/>
      <c r="Q32" s="1062"/>
      <c r="R32" s="1063"/>
      <c r="S32" s="1063"/>
      <c r="T32" s="1063"/>
    </row>
    <row r="33" spans="1:21" ht="22.5" customHeight="1">
      <c r="A33" s="1099"/>
      <c r="B33" s="1071" t="s">
        <v>1539</v>
      </c>
      <c r="H33" s="1054">
        <f>MIN(3500000,I30)</f>
        <v>0</v>
      </c>
      <c r="I33" s="1065"/>
      <c r="K33" s="1100"/>
      <c r="P33" s="1100"/>
    </row>
    <row r="34" spans="1:21" ht="22.5" customHeight="1">
      <c r="A34" s="1039" t="s">
        <v>1505</v>
      </c>
      <c r="B34" s="1138" t="s">
        <v>1540</v>
      </c>
      <c r="H34" s="1054">
        <f>H19</f>
        <v>0</v>
      </c>
      <c r="I34" s="1065"/>
      <c r="K34" s="1100"/>
      <c r="P34" s="1100"/>
    </row>
    <row r="35" spans="1:21" ht="22.5" customHeight="1">
      <c r="A35" s="1039" t="s">
        <v>1507</v>
      </c>
      <c r="B35" s="1140" t="s">
        <v>1541</v>
      </c>
      <c r="H35" s="1181">
        <f>+H33+H34</f>
        <v>0</v>
      </c>
      <c r="I35" s="1065"/>
      <c r="K35" s="1100"/>
      <c r="P35" s="1100"/>
    </row>
    <row r="36" spans="1:21" ht="22.5" customHeight="1">
      <c r="A36" s="1039" t="str">
        <f>IF(ProjectCredits="9% Credits","o.","h.")</f>
        <v>h.</v>
      </c>
      <c r="B36" s="1071" t="s">
        <v>1627</v>
      </c>
      <c r="F36" s="1101"/>
      <c r="G36" s="1102"/>
      <c r="H36" s="1175">
        <f>'Dev Budget'!B109</f>
        <v>0</v>
      </c>
      <c r="I36" s="1103" t="str">
        <f>IF(H36&gt;H35,"Excess Dev Fee"&amp;TEXT(H36-H35," $#,###"),"")</f>
        <v/>
      </c>
      <c r="J36" s="1076"/>
      <c r="K36" s="1048" t="str">
        <f>K10</f>
        <v>Universal Application</v>
      </c>
      <c r="L36" s="1049" t="s">
        <v>1494</v>
      </c>
      <c r="M36" s="2108" t="s">
        <v>1681</v>
      </c>
      <c r="N36" s="2101"/>
      <c r="O36" s="2102"/>
      <c r="P36" s="1139" t="str">
        <f>P10</f>
        <v>Final Cost Cert</v>
      </c>
      <c r="Q36" s="2109" t="s">
        <v>826</v>
      </c>
      <c r="R36" s="2110"/>
      <c r="S36" s="2110"/>
      <c r="T36" s="2111"/>
    </row>
    <row r="37" spans="1:21" ht="22.5" customHeight="1">
      <c r="A37" s="1039" t="s">
        <v>1544</v>
      </c>
      <c r="B37" s="1071" t="s">
        <v>1542</v>
      </c>
      <c r="F37" s="1212" t="s">
        <v>1643</v>
      </c>
      <c r="G37" s="2637"/>
      <c r="H37" s="1213">
        <f>'Dev Budget'!B109-G37</f>
        <v>0</v>
      </c>
      <c r="I37" s="1103" t="str">
        <f>IF('Dev Budget'!B109=0,"","Cannot exceed"&amp;TEXT(MIN(I20,H35)," $#,###"))</f>
        <v/>
      </c>
      <c r="J37" s="1076"/>
      <c r="K37" s="1048" t="str">
        <f>K10</f>
        <v>Universal Application</v>
      </c>
      <c r="L37" s="1049" t="s">
        <v>499</v>
      </c>
      <c r="M37" s="2108" t="s">
        <v>1651</v>
      </c>
      <c r="N37" s="2101"/>
      <c r="O37" s="2102"/>
      <c r="P37" s="1139" t="str">
        <f>P10</f>
        <v>Final Cost Cert</v>
      </c>
      <c r="Q37" s="2109" t="s">
        <v>1543</v>
      </c>
      <c r="R37" s="2110"/>
      <c r="S37" s="2110"/>
      <c r="T37" s="2111"/>
    </row>
    <row r="38" spans="1:21" ht="22.5" customHeight="1" thickBot="1">
      <c r="A38" s="1066" t="s">
        <v>1512</v>
      </c>
      <c r="B38" s="1067" t="s">
        <v>1545</v>
      </c>
      <c r="C38" s="1104"/>
      <c r="D38" s="1104"/>
      <c r="E38" s="1105"/>
      <c r="F38" s="1106"/>
      <c r="G38" s="1104"/>
      <c r="H38" s="1182">
        <f>IF(MIN(H35,H36)-MIN(I20,H35)&lt;0,0,MIN(H35,H36)-MIN(I20,H35))</f>
        <v>0</v>
      </c>
      <c r="I38" s="1107"/>
      <c r="J38" s="1076"/>
      <c r="K38" s="1031"/>
      <c r="L38" s="1031"/>
      <c r="M38" s="1031"/>
      <c r="N38" s="1031"/>
      <c r="O38" s="1031"/>
      <c r="P38" s="1031"/>
      <c r="Q38" s="1031"/>
      <c r="R38" s="1031"/>
      <c r="S38" s="1031"/>
      <c r="T38" s="1031"/>
    </row>
    <row r="39" spans="1:21" ht="8.1" customHeight="1" thickBot="1">
      <c r="A39" s="1039"/>
      <c r="B39" s="1071"/>
      <c r="C39" s="1072"/>
      <c r="D39" s="1072"/>
      <c r="E39" s="1072"/>
      <c r="F39" s="1073"/>
      <c r="G39" s="1072"/>
      <c r="H39" s="1074"/>
      <c r="I39" s="1104"/>
      <c r="J39" s="1076"/>
      <c r="K39" s="1108"/>
      <c r="P39" s="1108"/>
    </row>
    <row r="40" spans="1:21" s="1157" customFormat="1" ht="22.5" customHeight="1">
      <c r="A40" s="2112" t="s">
        <v>1546</v>
      </c>
      <c r="B40" s="2113"/>
      <c r="C40" s="2113"/>
      <c r="D40" s="2113"/>
      <c r="E40" s="2113"/>
      <c r="F40" s="2113"/>
      <c r="G40" s="2113"/>
      <c r="H40" s="2113"/>
      <c r="I40" s="1156"/>
      <c r="K40" s="1079"/>
      <c r="L40" s="1030"/>
      <c r="M40" s="1030"/>
      <c r="N40" s="1030"/>
      <c r="O40" s="1030"/>
      <c r="P40" s="1079"/>
      <c r="Q40" s="1079"/>
      <c r="R40" s="1030"/>
      <c r="S40" s="1030"/>
      <c r="T40" s="1030"/>
      <c r="U40" s="1031"/>
    </row>
    <row r="41" spans="1:21" s="1158" customFormat="1" ht="22.5" customHeight="1">
      <c r="A41" s="2114" t="s">
        <v>1547</v>
      </c>
      <c r="B41" s="2115"/>
      <c r="C41" s="2115"/>
      <c r="D41" s="2115"/>
      <c r="E41" s="2115"/>
      <c r="F41" s="2115"/>
      <c r="G41" s="2115"/>
      <c r="H41" s="2115"/>
      <c r="I41" s="2116"/>
      <c r="K41" s="1157"/>
      <c r="L41" s="1157"/>
      <c r="M41" s="1157"/>
      <c r="N41" s="1157"/>
      <c r="O41" s="1157"/>
      <c r="P41" s="1157"/>
      <c r="Q41" s="1157"/>
      <c r="R41" s="1157"/>
      <c r="S41" s="1157"/>
      <c r="T41" s="1157"/>
      <c r="U41" s="1157"/>
    </row>
    <row r="42" spans="1:21" s="1158" customFormat="1" ht="22.5" customHeight="1">
      <c r="A42" s="1159" t="s">
        <v>1548</v>
      </c>
      <c r="B42" s="1160" t="s">
        <v>1549</v>
      </c>
      <c r="C42" s="1160"/>
      <c r="D42" s="1160"/>
      <c r="E42" s="1160"/>
      <c r="F42" s="2638"/>
      <c r="G42" s="1160"/>
      <c r="H42" s="1160"/>
      <c r="I42" s="1161"/>
    </row>
    <row r="43" spans="1:21" s="1158" customFormat="1" ht="22.5" customHeight="1">
      <c r="A43" s="1159" t="s">
        <v>1550</v>
      </c>
      <c r="B43" s="1160" t="s">
        <v>1551</v>
      </c>
      <c r="C43" s="1160"/>
      <c r="D43" s="1162">
        <v>27000</v>
      </c>
      <c r="E43" s="1160" t="s">
        <v>1552</v>
      </c>
      <c r="F43" s="1160"/>
      <c r="G43" s="1109">
        <f>IF(F42&gt;29,D43*30,+F42*D43)</f>
        <v>0</v>
      </c>
      <c r="H43" s="1160"/>
      <c r="I43" s="1161"/>
    </row>
    <row r="44" spans="1:21" s="1158" customFormat="1" ht="22.5" customHeight="1">
      <c r="A44" s="1159" t="s">
        <v>1553</v>
      </c>
      <c r="B44" s="1160" t="s">
        <v>1554</v>
      </c>
      <c r="C44" s="1160"/>
      <c r="D44" s="1162">
        <v>10500</v>
      </c>
      <c r="E44" s="1163" t="s">
        <v>1552</v>
      </c>
      <c r="F44" s="1160"/>
      <c r="G44" s="1110">
        <f>IF(F42&lt;30,0,(F42-30)*D44)</f>
        <v>0</v>
      </c>
      <c r="H44" s="1160"/>
      <c r="I44" s="1161"/>
    </row>
    <row r="45" spans="1:21" s="1158" customFormat="1" ht="22.5" customHeight="1">
      <c r="A45" s="1164" t="s">
        <v>1555</v>
      </c>
      <c r="B45" s="1165" t="s">
        <v>1556</v>
      </c>
      <c r="C45" s="1160"/>
      <c r="D45" s="1160"/>
      <c r="E45" s="1160"/>
      <c r="F45" s="1160"/>
      <c r="G45" s="1160"/>
      <c r="H45" s="1166">
        <f>+G43+G44</f>
        <v>0</v>
      </c>
      <c r="I45" s="1161"/>
    </row>
    <row r="46" spans="1:21" s="1158" customFormat="1" ht="22.5" customHeight="1">
      <c r="A46" s="2114" t="s">
        <v>1557</v>
      </c>
      <c r="B46" s="2117"/>
      <c r="C46" s="2117"/>
      <c r="D46" s="2117"/>
      <c r="E46" s="2117"/>
      <c r="F46" s="2117"/>
      <c r="G46" s="2117"/>
      <c r="H46" s="2117"/>
      <c r="I46" s="2118"/>
    </row>
    <row r="47" spans="1:21" s="1158" customFormat="1" ht="22.5" customHeight="1">
      <c r="A47" s="1167"/>
      <c r="B47" s="1168" t="s">
        <v>1558</v>
      </c>
      <c r="C47" s="1169"/>
      <c r="D47" s="1169"/>
      <c r="E47" s="1169"/>
      <c r="F47" s="1169"/>
      <c r="G47" s="1169"/>
      <c r="H47" s="1169"/>
      <c r="I47" s="1170"/>
    </row>
    <row r="48" spans="1:21" s="1158" customFormat="1" ht="22.5" customHeight="1">
      <c r="A48" s="1159" t="s">
        <v>1559</v>
      </c>
      <c r="B48" s="1160" t="s">
        <v>1549</v>
      </c>
      <c r="C48" s="1160"/>
      <c r="D48" s="1160"/>
      <c r="E48" s="1160"/>
      <c r="F48" s="2638"/>
      <c r="G48" s="1160"/>
      <c r="H48" s="1160"/>
      <c r="I48" s="1161"/>
    </row>
    <row r="49" spans="1:21" s="1158" customFormat="1" ht="22.5" customHeight="1">
      <c r="A49" s="1159" t="s">
        <v>1560</v>
      </c>
      <c r="B49" s="1160" t="s">
        <v>1551</v>
      </c>
      <c r="C49" s="1160"/>
      <c r="D49" s="1162">
        <v>12000</v>
      </c>
      <c r="E49" s="1160" t="s">
        <v>1552</v>
      </c>
      <c r="F49" s="1160"/>
      <c r="G49" s="1109">
        <f>IF(F48&gt;29,D49*30,+F48*D49)</f>
        <v>0</v>
      </c>
      <c r="H49" s="1160"/>
      <c r="I49" s="1161"/>
    </row>
    <row r="50" spans="1:21" s="1158" customFormat="1" ht="22.5" customHeight="1">
      <c r="A50" s="1159" t="s">
        <v>1561</v>
      </c>
      <c r="B50" s="1160" t="s">
        <v>1562</v>
      </c>
      <c r="C50" s="1160"/>
      <c r="D50" s="1162">
        <v>5500</v>
      </c>
      <c r="E50" s="1163" t="s">
        <v>1552</v>
      </c>
      <c r="F50" s="1160"/>
      <c r="G50" s="1110">
        <f>IF(F48&lt;30,0,(F48-30)*D50)</f>
        <v>0</v>
      </c>
      <c r="H50" s="1160"/>
      <c r="I50" s="1161"/>
    </row>
    <row r="51" spans="1:21" s="1158" customFormat="1" ht="22.5" customHeight="1">
      <c r="A51" s="1164" t="s">
        <v>1563</v>
      </c>
      <c r="B51" s="1165" t="s">
        <v>1564</v>
      </c>
      <c r="C51" s="1160"/>
      <c r="D51" s="1160"/>
      <c r="E51" s="1160"/>
      <c r="F51" s="1160"/>
      <c r="G51" s="1160"/>
      <c r="H51" s="1166">
        <f>+G49+G50</f>
        <v>0</v>
      </c>
      <c r="I51" s="1161"/>
    </row>
    <row r="52" spans="1:21" s="1158" customFormat="1" ht="22.5" customHeight="1">
      <c r="A52" s="2114" t="s">
        <v>1565</v>
      </c>
      <c r="B52" s="2115"/>
      <c r="C52" s="2115"/>
      <c r="D52" s="2115"/>
      <c r="E52" s="2115"/>
      <c r="F52" s="2115"/>
      <c r="G52" s="2115"/>
      <c r="H52" s="2115"/>
      <c r="I52" s="2116"/>
    </row>
    <row r="53" spans="1:21" s="1158" customFormat="1" ht="22.5" customHeight="1">
      <c r="A53" s="1159" t="s">
        <v>1522</v>
      </c>
      <c r="B53" s="1160" t="s">
        <v>1549</v>
      </c>
      <c r="C53" s="1160"/>
      <c r="D53" s="1160"/>
      <c r="E53" s="1160"/>
      <c r="F53" s="2638"/>
      <c r="G53" s="1160"/>
      <c r="H53" s="1160"/>
      <c r="I53" s="1161"/>
    </row>
    <row r="54" spans="1:21" s="1158" customFormat="1" ht="22.5" customHeight="1">
      <c r="A54" s="1164" t="s">
        <v>1527</v>
      </c>
      <c r="B54" s="1165" t="s">
        <v>1566</v>
      </c>
      <c r="C54" s="1160"/>
      <c r="D54" s="1162">
        <v>2000</v>
      </c>
      <c r="E54" s="1160" t="s">
        <v>1567</v>
      </c>
      <c r="F54" s="1160"/>
      <c r="G54" s="1160"/>
      <c r="H54" s="1109">
        <f>+F53*D54</f>
        <v>0</v>
      </c>
      <c r="I54" s="1161"/>
    </row>
    <row r="55" spans="1:21" s="1158" customFormat="1" ht="22.5" customHeight="1">
      <c r="A55" s="2114" t="s">
        <v>1568</v>
      </c>
      <c r="B55" s="2117"/>
      <c r="C55" s="2117"/>
      <c r="D55" s="2117"/>
      <c r="E55" s="2117"/>
      <c r="F55" s="2117"/>
      <c r="G55" s="2117"/>
      <c r="H55" s="2639"/>
      <c r="I55" s="1171"/>
      <c r="J55" s="1172"/>
    </row>
    <row r="56" spans="1:21" s="1158" customFormat="1" ht="22.5" customHeight="1" thickBot="1">
      <c r="A56" s="2105" t="s">
        <v>1569</v>
      </c>
      <c r="B56" s="2106"/>
      <c r="C56" s="2106"/>
      <c r="D56" s="2106"/>
      <c r="E56" s="2106"/>
      <c r="F56" s="2106"/>
      <c r="G56" s="2106"/>
      <c r="H56" s="1173">
        <f>H45+H51+H54+H55</f>
        <v>0</v>
      </c>
      <c r="I56" s="1174"/>
    </row>
    <row r="57" spans="1:21" ht="15" customHeight="1">
      <c r="K57" s="1158"/>
      <c r="L57" s="1158"/>
      <c r="M57" s="1158"/>
      <c r="N57" s="1158"/>
      <c r="O57" s="1158"/>
      <c r="P57" s="1158"/>
      <c r="Q57" s="1158"/>
      <c r="R57" s="1158"/>
      <c r="S57" s="1158"/>
      <c r="T57" s="1158"/>
      <c r="U57" s="1158"/>
    </row>
    <row r="60" spans="1:21" ht="15" customHeight="1">
      <c r="C60" s="1111"/>
    </row>
    <row r="61" spans="1:21" ht="15" customHeight="1">
      <c r="C61" s="1111"/>
    </row>
    <row r="62" spans="1:21" ht="15" customHeight="1">
      <c r="C62" s="1111"/>
    </row>
    <row r="63" spans="1:21" ht="15" customHeight="1">
      <c r="C63" s="1111"/>
    </row>
    <row r="64" spans="1:21" ht="15" customHeight="1">
      <c r="C64" s="1111"/>
    </row>
    <row r="65" spans="3:3" ht="15" customHeight="1">
      <c r="C65" s="1111"/>
    </row>
    <row r="66" spans="3:3" ht="15" customHeight="1">
      <c r="C66" s="1111"/>
    </row>
    <row r="67" spans="3:3" ht="15" customHeight="1">
      <c r="C67" s="1111"/>
    </row>
    <row r="68" spans="3:3" ht="15" customHeight="1">
      <c r="C68" s="1111"/>
    </row>
    <row r="69" spans="3:3" ht="15" customHeight="1">
      <c r="C69" s="1111"/>
    </row>
    <row r="70" spans="3:3" ht="15" customHeight="1">
      <c r="C70" s="1111"/>
    </row>
    <row r="71" spans="3:3" ht="15" customHeight="1">
      <c r="C71" s="1111"/>
    </row>
  </sheetData>
  <sheetProtection password="CC32" sheet="1" objects="1" scenarios="1"/>
  <mergeCells count="66">
    <mergeCell ref="A1:I1"/>
    <mergeCell ref="A2:B2"/>
    <mergeCell ref="D2:E2"/>
    <mergeCell ref="H2:I2"/>
    <mergeCell ref="A3:B3"/>
    <mergeCell ref="C3:E3"/>
    <mergeCell ref="B5:F5"/>
    <mergeCell ref="B6:F6"/>
    <mergeCell ref="B7:F7"/>
    <mergeCell ref="A8:G8"/>
    <mergeCell ref="A4:F4"/>
    <mergeCell ref="B14:D14"/>
    <mergeCell ref="K14:O14"/>
    <mergeCell ref="P14:T14"/>
    <mergeCell ref="P8:T8"/>
    <mergeCell ref="B9:C9"/>
    <mergeCell ref="D9:E9"/>
    <mergeCell ref="B10:F10"/>
    <mergeCell ref="Q10:R10"/>
    <mergeCell ref="B11:F11"/>
    <mergeCell ref="Q11:R11"/>
    <mergeCell ref="K8:O8"/>
    <mergeCell ref="B12:H12"/>
    <mergeCell ref="A13:E13"/>
    <mergeCell ref="F13:G13"/>
    <mergeCell ref="K13:O13"/>
    <mergeCell ref="P13:T13"/>
    <mergeCell ref="M19:O19"/>
    <mergeCell ref="Q19:T19"/>
    <mergeCell ref="B15:C15"/>
    <mergeCell ref="E15:G15"/>
    <mergeCell ref="L15:N15"/>
    <mergeCell ref="Q15:R15"/>
    <mergeCell ref="B16:C16"/>
    <mergeCell ref="E16:G16"/>
    <mergeCell ref="L16:N16"/>
    <mergeCell ref="Q16:R16"/>
    <mergeCell ref="B17:D17"/>
    <mergeCell ref="F17:G17"/>
    <mergeCell ref="B18:F18"/>
    <mergeCell ref="G18:H18"/>
    <mergeCell ref="A22:G22"/>
    <mergeCell ref="Q24:S24"/>
    <mergeCell ref="B25:F25"/>
    <mergeCell ref="Q25:S25"/>
    <mergeCell ref="B27:G27"/>
    <mergeCell ref="M27:O27"/>
    <mergeCell ref="Q27:T27"/>
    <mergeCell ref="B26:G26"/>
    <mergeCell ref="B24:F24"/>
    <mergeCell ref="B28:G28"/>
    <mergeCell ref="M28:O28"/>
    <mergeCell ref="Q28:R28"/>
    <mergeCell ref="S28:T28"/>
    <mergeCell ref="A56:G56"/>
    <mergeCell ref="B29:F29"/>
    <mergeCell ref="Q29:S29"/>
    <mergeCell ref="M36:O36"/>
    <mergeCell ref="Q36:T36"/>
    <mergeCell ref="M37:O37"/>
    <mergeCell ref="Q37:T37"/>
    <mergeCell ref="A40:H40"/>
    <mergeCell ref="A41:I41"/>
    <mergeCell ref="A46:I46"/>
    <mergeCell ref="A52:I52"/>
    <mergeCell ref="A55:G55"/>
  </mergeCells>
  <conditionalFormatting sqref="G24">
    <cfRule type="expression" dxfId="64" priority="18">
      <formula>$B$24="Not Applicable"</formula>
    </cfRule>
  </conditionalFormatting>
  <conditionalFormatting sqref="G25">
    <cfRule type="expression" dxfId="63" priority="17">
      <formula>$B$25="Not Applicable"</formula>
    </cfRule>
  </conditionalFormatting>
  <conditionalFormatting sqref="I26:I28">
    <cfRule type="expression" dxfId="62" priority="19" stopIfTrue="1">
      <formula>OR($C$2="Origination",$C$2="Perm Close")</formula>
    </cfRule>
    <cfRule type="expression" dxfId="61" priority="20">
      <formula>$B$25="Not Applicable"</formula>
    </cfRule>
  </conditionalFormatting>
  <conditionalFormatting sqref="G2:I2 F3:I3">
    <cfRule type="expression" dxfId="60" priority="21">
      <formula>$C$2="Origination"</formula>
    </cfRule>
  </conditionalFormatting>
  <conditionalFormatting sqref="K8">
    <cfRule type="expression" dxfId="59" priority="16">
      <formula>$C$2="Origination"</formula>
    </cfRule>
  </conditionalFormatting>
  <conditionalFormatting sqref="H26">
    <cfRule type="expression" dxfId="58" priority="15">
      <formula>$B$26="Not Applicable"</formula>
    </cfRule>
  </conditionalFormatting>
  <conditionalFormatting sqref="H27">
    <cfRule type="expression" dxfId="57" priority="14">
      <formula>$B$27="Not Applicable"</formula>
    </cfRule>
  </conditionalFormatting>
  <conditionalFormatting sqref="H28">
    <cfRule type="expression" dxfId="56" priority="13">
      <formula>$B$28="Not Applicable"</formula>
    </cfRule>
  </conditionalFormatting>
  <conditionalFormatting sqref="G29">
    <cfRule type="expression" dxfId="55" priority="12">
      <formula>$B$26="Not Applicable"</formula>
    </cfRule>
  </conditionalFormatting>
  <conditionalFormatting sqref="I15">
    <cfRule type="expression" dxfId="54" priority="11">
      <formula>$B$17="Not Applicable"</formula>
    </cfRule>
  </conditionalFormatting>
  <conditionalFormatting sqref="H13">
    <cfRule type="expression" dxfId="53" priority="22">
      <formula>$F$2="9% Credits New Construction"</formula>
    </cfRule>
  </conditionalFormatting>
  <conditionalFormatting sqref="H37">
    <cfRule type="expression" dxfId="52" priority="10">
      <formula>H37&gt;I20</formula>
    </cfRule>
  </conditionalFormatting>
  <conditionalFormatting sqref="H36">
    <cfRule type="cellIs" dxfId="51" priority="9" operator="greaterThan">
      <formula>$H$35</formula>
    </cfRule>
  </conditionalFormatting>
  <conditionalFormatting sqref="I16">
    <cfRule type="expression" dxfId="50" priority="8">
      <formula>$B$17="Not Applicable"</formula>
    </cfRule>
  </conditionalFormatting>
  <conditionalFormatting sqref="I5">
    <cfRule type="cellIs" dxfId="49" priority="1" operator="equal">
      <formula>0</formula>
    </cfRule>
    <cfRule type="cellIs" dxfId="48" priority="7" operator="greaterThan">
      <formula>0</formula>
    </cfRule>
  </conditionalFormatting>
  <conditionalFormatting sqref="I6">
    <cfRule type="cellIs" dxfId="47" priority="4" stopIfTrue="1" operator="equal">
      <formula>0</formula>
    </cfRule>
    <cfRule type="cellIs" dxfId="46" priority="6" operator="greaterThan">
      <formula>0</formula>
    </cfRule>
  </conditionalFormatting>
  <conditionalFormatting sqref="I7">
    <cfRule type="cellIs" dxfId="45" priority="2" stopIfTrue="1" operator="equal">
      <formula>0</formula>
    </cfRule>
    <cfRule type="cellIs" dxfId="44" priority="3" operator="greaterThan">
      <formula>0</formula>
    </cfRule>
  </conditionalFormatting>
  <dataValidations count="3">
    <dataValidation type="list" allowBlank="1" showInputMessage="1" showErrorMessage="1" sqref="F2">
      <formula1>"No Tax Credits, 4% Credits New Construction, 4% Credits Rehabilitation,4% Credits Acq. Rehabilitation,4% Credits Adaptive Reuse,9% Credits New Construction,9% Credits Rehabilitation,9% Credits Acq. Rehabilitation,9% Credits Adaptive Reuse"</formula1>
    </dataValidation>
    <dataValidation type="list" allowBlank="1" showInputMessage="1" showErrorMessage="1" sqref="H27:H28">
      <formula1>"Yes,No"</formula1>
    </dataValidation>
    <dataValidation type="list" allowBlank="1" showInputMessage="1" showErrorMessage="1" sqref="C2">
      <formula1>"Origination,Construction Close,Perm Close"</formula1>
    </dataValidation>
  </dataValidations>
  <printOptions horizontalCentered="1"/>
  <pageMargins left="0.25" right="0.25" top="0.25" bottom="0.25" header="0" footer="0"/>
  <pageSetup firstPageNumber="41" orientation="landscape" r:id="rId1"/>
  <headerFooter scaleWithDoc="0" alignWithMargins="0">
    <oddFooter>&amp;C&amp;9Page &amp;P of &amp;N&amp;R&amp;"Arial,Italic"&amp;9&amp;A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8897" r:id="rId4" name="Group Box 1">
              <controlPr defaultSize="0" autoFill="0" autoPict="0">
                <anchor moveWithCells="1">
                  <from>
                    <xdr:col>7</xdr:col>
                    <xdr:colOff>0</xdr:colOff>
                    <xdr:row>26</xdr:row>
                    <xdr:rowOff>19050</xdr:rowOff>
                  </from>
                  <to>
                    <xdr:col>9</xdr:col>
                    <xdr:colOff>0</xdr:colOff>
                    <xdr:row>26</xdr:row>
                    <xdr:rowOff>266700</xdr:rowOff>
                  </to>
                </anchor>
              </controlPr>
            </control>
          </mc:Choice>
        </mc:AlternateContent>
        <mc:AlternateContent xmlns:mc="http://schemas.openxmlformats.org/markup-compatibility/2006">
          <mc:Choice Requires="x14">
            <control shapeId="208898" r:id="rId5" name="Group Box 2">
              <controlPr defaultSize="0" autoFill="0" autoPict="0">
                <anchor moveWithCells="1">
                  <from>
                    <xdr:col>7</xdr:col>
                    <xdr:colOff>0</xdr:colOff>
                    <xdr:row>25</xdr:row>
                    <xdr:rowOff>0</xdr:rowOff>
                  </from>
                  <to>
                    <xdr:col>9</xdr:col>
                    <xdr:colOff>0</xdr:colOff>
                    <xdr:row>25</xdr:row>
                    <xdr:rowOff>266700</xdr:rowOff>
                  </to>
                </anchor>
              </controlPr>
            </control>
          </mc:Choice>
        </mc:AlternateContent>
        <mc:AlternateContent xmlns:mc="http://schemas.openxmlformats.org/markup-compatibility/2006">
          <mc:Choice Requires="x14">
            <control shapeId="208899" r:id="rId6" name="Group Box 3">
              <controlPr defaultSize="0" autoFill="0" autoPict="0">
                <anchor moveWithCells="1">
                  <from>
                    <xdr:col>7</xdr:col>
                    <xdr:colOff>9525</xdr:colOff>
                    <xdr:row>27</xdr:row>
                    <xdr:rowOff>9525</xdr:rowOff>
                  </from>
                  <to>
                    <xdr:col>8</xdr:col>
                    <xdr:colOff>876300</xdr:colOff>
                    <xdr:row>28</xdr:row>
                    <xdr:rowOff>9525</xdr:rowOff>
                  </to>
                </anchor>
              </controlPr>
            </control>
          </mc:Choice>
        </mc:AlternateContent>
        <mc:AlternateContent xmlns:mc="http://schemas.openxmlformats.org/markup-compatibility/2006">
          <mc:Choice Requires="x14">
            <control shapeId="208900" r:id="rId7" name="Group Box 4">
              <controlPr defaultSize="0" autoFill="0" autoPict="0">
                <anchor moveWithCells="1">
                  <from>
                    <xdr:col>7</xdr:col>
                    <xdr:colOff>0</xdr:colOff>
                    <xdr:row>25</xdr:row>
                    <xdr:rowOff>0</xdr:rowOff>
                  </from>
                  <to>
                    <xdr:col>9</xdr:col>
                    <xdr:colOff>0</xdr:colOff>
                    <xdr:row>25</xdr:row>
                    <xdr:rowOff>266700</xdr:rowOff>
                  </to>
                </anchor>
              </controlPr>
            </control>
          </mc:Choice>
        </mc:AlternateContent>
        <mc:AlternateContent xmlns:mc="http://schemas.openxmlformats.org/markup-compatibility/2006">
          <mc:Choice Requires="x14">
            <control shapeId="208901" r:id="rId8" name="Group Box 5">
              <controlPr defaultSize="0" autoFill="0" autoPict="0">
                <anchor moveWithCells="1">
                  <from>
                    <xdr:col>7</xdr:col>
                    <xdr:colOff>0</xdr:colOff>
                    <xdr:row>26</xdr:row>
                    <xdr:rowOff>0</xdr:rowOff>
                  </from>
                  <to>
                    <xdr:col>9</xdr:col>
                    <xdr:colOff>0</xdr:colOff>
                    <xdr:row>26</xdr:row>
                    <xdr:rowOff>266700</xdr:rowOff>
                  </to>
                </anchor>
              </controlPr>
            </control>
          </mc:Choice>
        </mc:AlternateContent>
        <mc:AlternateContent xmlns:mc="http://schemas.openxmlformats.org/markup-compatibility/2006">
          <mc:Choice Requires="x14">
            <control shapeId="208902" r:id="rId9" name="Group Box 6">
              <controlPr defaultSize="0" autoFill="0" autoPict="0">
                <anchor moveWithCells="1">
                  <from>
                    <xdr:col>7</xdr:col>
                    <xdr:colOff>0</xdr:colOff>
                    <xdr:row>26</xdr:row>
                    <xdr:rowOff>0</xdr:rowOff>
                  </from>
                  <to>
                    <xdr:col>9</xdr:col>
                    <xdr:colOff>0</xdr:colOff>
                    <xdr:row>26</xdr:row>
                    <xdr:rowOff>266700</xdr:rowOff>
                  </to>
                </anchor>
              </controlPr>
            </control>
          </mc:Choice>
        </mc:AlternateContent>
        <mc:AlternateContent xmlns:mc="http://schemas.openxmlformats.org/markup-compatibility/2006">
          <mc:Choice Requires="x14">
            <control shapeId="208903" r:id="rId10" name="Group Box 7">
              <controlPr defaultSize="0" autoFill="0" autoPict="0">
                <anchor moveWithCells="1">
                  <from>
                    <xdr:col>7</xdr:col>
                    <xdr:colOff>0</xdr:colOff>
                    <xdr:row>27</xdr:row>
                    <xdr:rowOff>0</xdr:rowOff>
                  </from>
                  <to>
                    <xdr:col>9</xdr:col>
                    <xdr:colOff>0</xdr:colOff>
                    <xdr:row>27</xdr:row>
                    <xdr:rowOff>266700</xdr:rowOff>
                  </to>
                </anchor>
              </controlPr>
            </control>
          </mc:Choice>
        </mc:AlternateContent>
        <mc:AlternateContent xmlns:mc="http://schemas.openxmlformats.org/markup-compatibility/2006">
          <mc:Choice Requires="x14">
            <control shapeId="208904" r:id="rId11" name="Group Box 8">
              <controlPr defaultSize="0" autoFill="0" autoPict="0">
                <anchor moveWithCells="1">
                  <from>
                    <xdr:col>7</xdr:col>
                    <xdr:colOff>0</xdr:colOff>
                    <xdr:row>27</xdr:row>
                    <xdr:rowOff>0</xdr:rowOff>
                  </from>
                  <to>
                    <xdr:col>9</xdr:col>
                    <xdr:colOff>0</xdr:colOff>
                    <xdr:row>27</xdr:row>
                    <xdr:rowOff>266700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1">
    <pageSetUpPr fitToPage="1"/>
  </sheetPr>
  <dimension ref="A1:BL58"/>
  <sheetViews>
    <sheetView showGridLines="0" zoomScaleNormal="100" zoomScaleSheetLayoutView="100" workbookViewId="0">
      <selection sqref="A1:AU1"/>
    </sheetView>
  </sheetViews>
  <sheetFormatPr defaultRowHeight="15"/>
  <cols>
    <col min="1" max="46" width="2.5703125" style="1112" customWidth="1"/>
    <col min="47" max="47" width="2.85546875" style="1112" customWidth="1"/>
    <col min="48" max="49" width="9.140625" style="1112"/>
    <col min="50" max="52" width="10.28515625" style="1112" hidden="1" customWidth="1"/>
    <col min="53" max="63" width="18.7109375" style="1136" hidden="1" customWidth="1"/>
    <col min="64" max="64" width="14.85546875" style="1112" hidden="1" customWidth="1"/>
    <col min="65" max="65" width="10.28515625" style="1112" customWidth="1"/>
    <col min="66" max="16384" width="9.140625" style="1112"/>
  </cols>
  <sheetData>
    <row r="1" spans="1:64" ht="45" customHeight="1" thickBot="1">
      <c r="A1" s="2165" t="s">
        <v>1684</v>
      </c>
      <c r="B1" s="2166"/>
      <c r="C1" s="2166"/>
      <c r="D1" s="2166"/>
      <c r="E1" s="2166"/>
      <c r="F1" s="2166"/>
      <c r="G1" s="2166"/>
      <c r="H1" s="2166"/>
      <c r="I1" s="2166"/>
      <c r="J1" s="2166"/>
      <c r="K1" s="2166"/>
      <c r="L1" s="2166"/>
      <c r="M1" s="2166"/>
      <c r="N1" s="2166"/>
      <c r="O1" s="2166"/>
      <c r="P1" s="2166"/>
      <c r="Q1" s="2166"/>
      <c r="R1" s="2166"/>
      <c r="S1" s="2166"/>
      <c r="T1" s="2166"/>
      <c r="U1" s="2166"/>
      <c r="V1" s="2166"/>
      <c r="W1" s="2166"/>
      <c r="X1" s="2166"/>
      <c r="Y1" s="2166"/>
      <c r="Z1" s="2166"/>
      <c r="AA1" s="2166"/>
      <c r="AB1" s="2166"/>
      <c r="AC1" s="2166"/>
      <c r="AD1" s="2166"/>
      <c r="AE1" s="2166"/>
      <c r="AF1" s="2166"/>
      <c r="AG1" s="2166"/>
      <c r="AH1" s="2166"/>
      <c r="AI1" s="2166"/>
      <c r="AJ1" s="2166"/>
      <c r="AK1" s="2166"/>
      <c r="AL1" s="2166"/>
      <c r="AM1" s="2166"/>
      <c r="AN1" s="2166"/>
      <c r="AO1" s="2166"/>
      <c r="AP1" s="2166"/>
      <c r="AQ1" s="2166"/>
      <c r="AR1" s="2166"/>
      <c r="AS1" s="2166"/>
      <c r="AT1" s="2166"/>
      <c r="AU1" s="2167"/>
      <c r="BA1" s="1113">
        <v>43462</v>
      </c>
      <c r="BB1" s="1114" t="s">
        <v>1570</v>
      </c>
      <c r="BC1" s="1115" t="s">
        <v>1571</v>
      </c>
      <c r="BD1" s="1115" t="s">
        <v>1572</v>
      </c>
      <c r="BE1" s="1115" t="s">
        <v>1573</v>
      </c>
      <c r="BF1" s="1114" t="s">
        <v>1574</v>
      </c>
      <c r="BG1" s="1114" t="s">
        <v>1575</v>
      </c>
      <c r="BH1" s="1115" t="s">
        <v>1571</v>
      </c>
      <c r="BI1" s="1115" t="s">
        <v>1572</v>
      </c>
      <c r="BJ1" s="1115" t="s">
        <v>1573</v>
      </c>
      <c r="BK1" s="1114" t="s">
        <v>1574</v>
      </c>
      <c r="BL1" s="1116"/>
    </row>
    <row r="2" spans="1:64" ht="15" customHeight="1">
      <c r="A2" s="2168" t="s">
        <v>1479</v>
      </c>
      <c r="B2" s="2169"/>
      <c r="C2" s="2169"/>
      <c r="D2" s="2169"/>
      <c r="E2" s="2169"/>
      <c r="F2" s="2170" t="str">
        <f>IF('General '!A45="","",'General '!A45)</f>
        <v/>
      </c>
      <c r="G2" s="2171"/>
      <c r="H2" s="2171"/>
      <c r="I2" s="2171"/>
      <c r="J2" s="2171"/>
      <c r="K2" s="2171"/>
      <c r="L2" s="2171"/>
      <c r="M2" s="2171"/>
      <c r="N2" s="2171"/>
      <c r="O2" s="2171"/>
      <c r="P2" s="2171"/>
      <c r="Q2" s="2171"/>
      <c r="R2" s="2171"/>
      <c r="S2" s="2171"/>
      <c r="T2" s="2171"/>
      <c r="U2" s="2171"/>
      <c r="V2" s="2171"/>
      <c r="W2" s="2171"/>
      <c r="X2" s="2171"/>
      <c r="Y2" s="2172"/>
      <c r="Z2" s="2173" t="s">
        <v>893</v>
      </c>
      <c r="AA2" s="2174"/>
      <c r="AB2" s="2640"/>
      <c r="AC2" s="2641"/>
      <c r="AD2" s="2641"/>
      <c r="AE2" s="2642"/>
      <c r="AF2" s="2173" t="s">
        <v>1576</v>
      </c>
      <c r="AG2" s="2175"/>
      <c r="AH2" s="2175"/>
      <c r="AI2" s="2174"/>
      <c r="AJ2" s="2176" t="str">
        <f>IF('General '!AI45="","",'General '!AI45)</f>
        <v/>
      </c>
      <c r="AK2" s="2177"/>
      <c r="AL2" s="2177"/>
      <c r="AM2" s="2177"/>
      <c r="AN2" s="2177"/>
      <c r="AO2" s="2177"/>
      <c r="AP2" s="2173" t="s">
        <v>1577</v>
      </c>
      <c r="AQ2" s="2175"/>
      <c r="AR2" s="2175"/>
      <c r="AS2" s="2174"/>
      <c r="AT2" s="2178" t="str">
        <f>IF(LEFT(ProjectCredits,1)="9","9%",IF(LEFT(ProjectCredits,1)="4","4%","None"))</f>
        <v>None</v>
      </c>
      <c r="AU2" s="2179"/>
      <c r="AV2" s="1117"/>
      <c r="BA2" s="1118" t="s">
        <v>563</v>
      </c>
      <c r="BB2" s="1119">
        <v>303706</v>
      </c>
      <c r="BC2" s="1119">
        <v>350170</v>
      </c>
      <c r="BD2" s="1119">
        <v>422400</v>
      </c>
      <c r="BE2" s="1119">
        <v>540672</v>
      </c>
      <c r="BF2" s="1119">
        <v>602342</v>
      </c>
      <c r="BG2" s="1120">
        <v>262291</v>
      </c>
      <c r="BH2" s="1120">
        <v>302419</v>
      </c>
      <c r="BI2" s="1120">
        <v>364800</v>
      </c>
      <c r="BJ2" s="1120">
        <v>466944</v>
      </c>
      <c r="BK2" s="1120">
        <v>520205</v>
      </c>
      <c r="BL2" s="1116"/>
    </row>
    <row r="3" spans="1:64" ht="15" customHeight="1">
      <c r="A3" s="2197" t="s">
        <v>1578</v>
      </c>
      <c r="B3" s="2198"/>
      <c r="C3" s="2198"/>
      <c r="D3" s="2198"/>
      <c r="E3" s="2643"/>
      <c r="F3" s="2644"/>
      <c r="G3" s="2644"/>
      <c r="H3" s="2644"/>
      <c r="I3" s="2644"/>
      <c r="J3" s="2644"/>
      <c r="K3" s="2644"/>
      <c r="L3" s="2644"/>
      <c r="M3" s="2644"/>
      <c r="N3" s="2644"/>
      <c r="O3" s="2199" t="s">
        <v>1480</v>
      </c>
      <c r="P3" s="2200"/>
      <c r="Q3" s="2200"/>
      <c r="R3" s="2200"/>
      <c r="S3" s="2200"/>
      <c r="T3" s="2201"/>
      <c r="U3" s="2202" t="str">
        <f>IF('Developer Fee'!G3="","",'Developer Fee'!G3)</f>
        <v/>
      </c>
      <c r="V3" s="2203"/>
      <c r="W3" s="2203"/>
      <c r="X3" s="2203"/>
      <c r="Y3" s="2203"/>
      <c r="Z3" s="2203"/>
      <c r="AA3" s="2202" t="str">
        <f>IF('Developer Fee'!H3="","",'Developer Fee'!H3)</f>
        <v/>
      </c>
      <c r="AB3" s="2203"/>
      <c r="AC3" s="2203"/>
      <c r="AD3" s="2203"/>
      <c r="AE3" s="2203"/>
      <c r="AF3" s="2202" t="str">
        <f>IF('Developer Fee'!I3="","",'Developer Fee'!I3)</f>
        <v/>
      </c>
      <c r="AG3" s="2203"/>
      <c r="AH3" s="2203"/>
      <c r="AI3" s="2203"/>
      <c r="AJ3" s="2204"/>
      <c r="AK3" s="2180" t="s">
        <v>1579</v>
      </c>
      <c r="AL3" s="2181"/>
      <c r="AM3" s="2181"/>
      <c r="AN3" s="2182"/>
      <c r="AO3" s="2183" t="str">
        <f>'Developer Fee'!C2</f>
        <v>Origination</v>
      </c>
      <c r="AP3" s="2184"/>
      <c r="AQ3" s="2184"/>
      <c r="AR3" s="2184"/>
      <c r="AS3" s="2184"/>
      <c r="AT3" s="2184"/>
      <c r="AU3" s="2185"/>
      <c r="AV3" s="1117"/>
      <c r="AW3" s="1121"/>
      <c r="BA3" s="1122" t="s">
        <v>564</v>
      </c>
      <c r="BB3" s="1123">
        <v>237558</v>
      </c>
      <c r="BC3" s="1123">
        <v>273902</v>
      </c>
      <c r="BD3" s="1123">
        <v>330400</v>
      </c>
      <c r="BE3" s="1123">
        <v>422912</v>
      </c>
      <c r="BF3" s="1123">
        <v>471150</v>
      </c>
      <c r="BG3" s="1124">
        <v>207647</v>
      </c>
      <c r="BH3" s="1124">
        <v>239415</v>
      </c>
      <c r="BI3" s="1124">
        <v>288800</v>
      </c>
      <c r="BJ3" s="1124">
        <v>369664</v>
      </c>
      <c r="BK3" s="1124">
        <v>411829</v>
      </c>
      <c r="BL3" s="1116"/>
    </row>
    <row r="4" spans="1:64" ht="24.75" customHeight="1">
      <c r="A4" s="2186" t="s">
        <v>400</v>
      </c>
      <c r="B4" s="2187"/>
      <c r="C4" s="2187"/>
      <c r="D4" s="2187"/>
      <c r="E4" s="2187"/>
      <c r="F4" s="2187"/>
      <c r="G4" s="2187"/>
      <c r="H4" s="2188"/>
      <c r="I4" s="2189" t="s">
        <v>1580</v>
      </c>
      <c r="J4" s="2190"/>
      <c r="K4" s="2190"/>
      <c r="L4" s="2190"/>
      <c r="M4" s="2190"/>
      <c r="N4" s="2190"/>
      <c r="O4" s="2190"/>
      <c r="P4" s="2190"/>
      <c r="Q4" s="2190"/>
      <c r="R4" s="2190"/>
      <c r="S4" s="2190"/>
      <c r="T4" s="2190"/>
      <c r="U4" s="2190"/>
      <c r="V4" s="2190"/>
      <c r="W4" s="2190"/>
      <c r="X4" s="2191"/>
      <c r="Y4" s="2192" t="s">
        <v>1581</v>
      </c>
      <c r="Z4" s="2193"/>
      <c r="AA4" s="2193"/>
      <c r="AB4" s="2193"/>
      <c r="AC4" s="2193"/>
      <c r="AD4" s="2193"/>
      <c r="AE4" s="2193"/>
      <c r="AF4" s="2193"/>
      <c r="AG4" s="2193"/>
      <c r="AH4" s="2193"/>
      <c r="AI4" s="2193"/>
      <c r="AJ4" s="2193"/>
      <c r="AK4" s="2193"/>
      <c r="AL4" s="2193"/>
      <c r="AM4" s="2193"/>
      <c r="AN4" s="2194"/>
      <c r="AO4" s="2195" t="s">
        <v>1582</v>
      </c>
      <c r="AP4" s="2195"/>
      <c r="AQ4" s="2195"/>
      <c r="AR4" s="2195"/>
      <c r="AS4" s="2195"/>
      <c r="AT4" s="2195"/>
      <c r="AU4" s="2196"/>
      <c r="BA4" s="1118" t="s">
        <v>565</v>
      </c>
      <c r="BB4" s="1119">
        <v>237558</v>
      </c>
      <c r="BC4" s="1119">
        <v>273902</v>
      </c>
      <c r="BD4" s="1119">
        <v>330400</v>
      </c>
      <c r="BE4" s="1119">
        <v>422912</v>
      </c>
      <c r="BF4" s="1119">
        <v>471150</v>
      </c>
      <c r="BG4" s="1120">
        <v>207647</v>
      </c>
      <c r="BH4" s="1120">
        <v>239415</v>
      </c>
      <c r="BI4" s="1120">
        <v>288800</v>
      </c>
      <c r="BJ4" s="1120">
        <v>369664</v>
      </c>
      <c r="BK4" s="1120">
        <v>411829</v>
      </c>
      <c r="BL4" s="1116"/>
    </row>
    <row r="5" spans="1:64">
      <c r="A5" s="2205" t="s">
        <v>1583</v>
      </c>
      <c r="B5" s="2206"/>
      <c r="C5" s="2206"/>
      <c r="D5" s="2206"/>
      <c r="E5" s="2206"/>
      <c r="F5" s="2206"/>
      <c r="G5" s="2206"/>
      <c r="H5" s="2206"/>
      <c r="I5" s="2207" t="str">
        <f>IF(CountyTBL="","",IF(AT2="9%",VLOOKUP(CountyTBL,TblData,AY5),VLOOKUP(CountyTBL,TblData,AX5)))</f>
        <v/>
      </c>
      <c r="J5" s="2207"/>
      <c r="K5" s="2207"/>
      <c r="L5" s="2207"/>
      <c r="M5" s="2207"/>
      <c r="N5" s="2207"/>
      <c r="O5" s="2207"/>
      <c r="P5" s="2207"/>
      <c r="Q5" s="2207"/>
      <c r="R5" s="2207"/>
      <c r="S5" s="2207"/>
      <c r="T5" s="2207"/>
      <c r="U5" s="2207"/>
      <c r="V5" s="2207"/>
      <c r="W5" s="2207"/>
      <c r="X5" s="2207"/>
      <c r="Y5" s="2208">
        <f ca="1">'Rents '!D19+'Rents '!D27+'Rents '!D35+'Rents '!D43+'Rents '!D51+'Rents '!D63+'Rents '!D71+'Rents '!D79+'Rents '!D87+'Rents '!D95+'Rents '!D103+SUMIF('Rents '!$C$112:$D$123,"0 Bdrm.",'Rents '!$D$112:$D$123)</f>
        <v>0</v>
      </c>
      <c r="Z5" s="2209"/>
      <c r="AA5" s="2209"/>
      <c r="AB5" s="2209"/>
      <c r="AC5" s="2209"/>
      <c r="AD5" s="2209"/>
      <c r="AE5" s="2209"/>
      <c r="AF5" s="2209"/>
      <c r="AG5" s="2209"/>
      <c r="AH5" s="2209"/>
      <c r="AI5" s="2209"/>
      <c r="AJ5" s="2209"/>
      <c r="AK5" s="2209"/>
      <c r="AL5" s="2209"/>
      <c r="AM5" s="2209"/>
      <c r="AN5" s="2210"/>
      <c r="AO5" s="2211">
        <f ca="1">IF(ISERROR((I5*Y5)),0,(I5*Y5))</f>
        <v>0</v>
      </c>
      <c r="AP5" s="2211"/>
      <c r="AQ5" s="2211"/>
      <c r="AR5" s="2211"/>
      <c r="AS5" s="2211"/>
      <c r="AT5" s="2211"/>
      <c r="AU5" s="2212"/>
      <c r="AX5" s="1125">
        <v>2</v>
      </c>
      <c r="AY5" s="1126">
        <v>7</v>
      </c>
      <c r="BA5" s="1122" t="s">
        <v>566</v>
      </c>
      <c r="BB5" s="1123">
        <v>237558</v>
      </c>
      <c r="BC5" s="1123">
        <v>273902</v>
      </c>
      <c r="BD5" s="1123">
        <v>330400</v>
      </c>
      <c r="BE5" s="1123">
        <v>422912</v>
      </c>
      <c r="BF5" s="1123">
        <v>471150</v>
      </c>
      <c r="BG5" s="1124">
        <v>207647</v>
      </c>
      <c r="BH5" s="1124">
        <v>239415</v>
      </c>
      <c r="BI5" s="1124">
        <v>288800</v>
      </c>
      <c r="BJ5" s="1124">
        <v>369664</v>
      </c>
      <c r="BK5" s="1124">
        <v>411829</v>
      </c>
      <c r="BL5" s="1116"/>
    </row>
    <row r="6" spans="1:64">
      <c r="A6" s="2205" t="s">
        <v>1584</v>
      </c>
      <c r="B6" s="2206"/>
      <c r="C6" s="2206"/>
      <c r="D6" s="2206"/>
      <c r="E6" s="2206"/>
      <c r="F6" s="2206"/>
      <c r="G6" s="2206"/>
      <c r="H6" s="2206"/>
      <c r="I6" s="2207" t="str">
        <f>IF(CountyTBL="","",IF(AT2="9%",VLOOKUP(CountyTBL,TblData,AY6),VLOOKUP(CountyTBL,TblData,AX6)))</f>
        <v/>
      </c>
      <c r="J6" s="2207"/>
      <c r="K6" s="2207"/>
      <c r="L6" s="2207"/>
      <c r="M6" s="2207"/>
      <c r="N6" s="2207"/>
      <c r="O6" s="2207"/>
      <c r="P6" s="2207"/>
      <c r="Q6" s="2207"/>
      <c r="R6" s="2207"/>
      <c r="S6" s="2207"/>
      <c r="T6" s="2207"/>
      <c r="U6" s="2207"/>
      <c r="V6" s="2207"/>
      <c r="W6" s="2207"/>
      <c r="X6" s="2207"/>
      <c r="Y6" s="2208">
        <f ca="1">'Rents '!D20+'Rents '!D28+'Rents '!D36+'Rents '!D44+'Rents '!D52+'Rents '!D64+'Rents '!D72+'Rents '!D80+'Rents '!D88+'Rents '!D96+'Rents '!D104+SUMIF('Rents '!$C$112:$D$123,"1 Bdrm.",'Rents '!$D$112:$D$123)</f>
        <v>0</v>
      </c>
      <c r="Z6" s="2209"/>
      <c r="AA6" s="2209"/>
      <c r="AB6" s="2209"/>
      <c r="AC6" s="2209"/>
      <c r="AD6" s="2209"/>
      <c r="AE6" s="2209"/>
      <c r="AF6" s="2209"/>
      <c r="AG6" s="2209"/>
      <c r="AH6" s="2209"/>
      <c r="AI6" s="2209"/>
      <c r="AJ6" s="2209"/>
      <c r="AK6" s="2209"/>
      <c r="AL6" s="2209"/>
      <c r="AM6" s="2209"/>
      <c r="AN6" s="2210"/>
      <c r="AO6" s="2211">
        <f ca="1">IF(ISERROR((I6*Y6)),0,(I6*Y6))</f>
        <v>0</v>
      </c>
      <c r="AP6" s="2211"/>
      <c r="AQ6" s="2211"/>
      <c r="AR6" s="2211"/>
      <c r="AS6" s="2211"/>
      <c r="AT6" s="2211"/>
      <c r="AU6" s="2212"/>
      <c r="AX6" s="1126">
        <f>AX5+1</f>
        <v>3</v>
      </c>
      <c r="AY6" s="1126">
        <f>AY5+1</f>
        <v>8</v>
      </c>
      <c r="BA6" s="1118" t="s">
        <v>567</v>
      </c>
      <c r="BB6" s="1119">
        <v>237558</v>
      </c>
      <c r="BC6" s="1119">
        <v>273902</v>
      </c>
      <c r="BD6" s="1119">
        <v>330400</v>
      </c>
      <c r="BE6" s="1119">
        <v>422912</v>
      </c>
      <c r="BF6" s="1119">
        <v>471150</v>
      </c>
      <c r="BG6" s="1120">
        <v>207647</v>
      </c>
      <c r="BH6" s="1120">
        <v>239415</v>
      </c>
      <c r="BI6" s="1120">
        <v>288800</v>
      </c>
      <c r="BJ6" s="1120">
        <v>369664</v>
      </c>
      <c r="BK6" s="1120">
        <v>411829</v>
      </c>
      <c r="BL6" s="1116"/>
    </row>
    <row r="7" spans="1:64">
      <c r="A7" s="2205" t="s">
        <v>1585</v>
      </c>
      <c r="B7" s="2206"/>
      <c r="C7" s="2206"/>
      <c r="D7" s="2206"/>
      <c r="E7" s="2206"/>
      <c r="F7" s="2206"/>
      <c r="G7" s="2206"/>
      <c r="H7" s="2206"/>
      <c r="I7" s="2207" t="str">
        <f>IF(CountyTBL="","",IF(AT2="9%",VLOOKUP(CountyTBL,TblData,AY7),VLOOKUP(CountyTBL,TblData,AX7)))</f>
        <v/>
      </c>
      <c r="J7" s="2207"/>
      <c r="K7" s="2207"/>
      <c r="L7" s="2207"/>
      <c r="M7" s="2207"/>
      <c r="N7" s="2207"/>
      <c r="O7" s="2207"/>
      <c r="P7" s="2207"/>
      <c r="Q7" s="2207"/>
      <c r="R7" s="2207"/>
      <c r="S7" s="2207"/>
      <c r="T7" s="2207"/>
      <c r="U7" s="2207"/>
      <c r="V7" s="2207"/>
      <c r="W7" s="2207"/>
      <c r="X7" s="2207"/>
      <c r="Y7" s="2208">
        <f ca="1">'Rents '!D21+'Rents '!D29+'Rents '!D37+'Rents '!D45+'Rents '!D53+'Rents '!D65+'Rents '!D73+'Rents '!D81+'Rents '!D89+'Rents '!D97+'Rents '!D105+SUMIF('Rents '!$C$112:$D$123,"2 Bdrm.",'Rents '!$D$112:$D$123)</f>
        <v>0</v>
      </c>
      <c r="Z7" s="2209"/>
      <c r="AA7" s="2209"/>
      <c r="AB7" s="2209"/>
      <c r="AC7" s="2209"/>
      <c r="AD7" s="2209"/>
      <c r="AE7" s="2209"/>
      <c r="AF7" s="2209"/>
      <c r="AG7" s="2209"/>
      <c r="AH7" s="2209"/>
      <c r="AI7" s="2209"/>
      <c r="AJ7" s="2209"/>
      <c r="AK7" s="2209"/>
      <c r="AL7" s="2209"/>
      <c r="AM7" s="2209"/>
      <c r="AN7" s="2210"/>
      <c r="AO7" s="2211">
        <f ca="1">IF(ISERROR((I7*Y7)),0,(I7*Y7))</f>
        <v>0</v>
      </c>
      <c r="AP7" s="2211"/>
      <c r="AQ7" s="2211"/>
      <c r="AR7" s="2211"/>
      <c r="AS7" s="2211"/>
      <c r="AT7" s="2211"/>
      <c r="AU7" s="2212"/>
      <c r="AX7" s="1126">
        <f t="shared" ref="AX7:AX9" si="0">AX6+1</f>
        <v>4</v>
      </c>
      <c r="AY7" s="1126">
        <f>AY6+1</f>
        <v>9</v>
      </c>
      <c r="BA7" s="1122" t="s">
        <v>568</v>
      </c>
      <c r="BB7" s="1123">
        <v>237558</v>
      </c>
      <c r="BC7" s="1123">
        <v>273902</v>
      </c>
      <c r="BD7" s="1123">
        <v>330400</v>
      </c>
      <c r="BE7" s="1123">
        <v>422912</v>
      </c>
      <c r="BF7" s="1123">
        <v>471150</v>
      </c>
      <c r="BG7" s="1124">
        <v>207647</v>
      </c>
      <c r="BH7" s="1124">
        <v>239415</v>
      </c>
      <c r="BI7" s="1124">
        <v>288800</v>
      </c>
      <c r="BJ7" s="1124">
        <v>369664</v>
      </c>
      <c r="BK7" s="1124">
        <v>411829</v>
      </c>
      <c r="BL7" s="1116"/>
    </row>
    <row r="8" spans="1:64">
      <c r="A8" s="2205" t="s">
        <v>1586</v>
      </c>
      <c r="B8" s="2206"/>
      <c r="C8" s="2206"/>
      <c r="D8" s="2206"/>
      <c r="E8" s="2206"/>
      <c r="F8" s="2206"/>
      <c r="G8" s="2206"/>
      <c r="H8" s="2206"/>
      <c r="I8" s="2207" t="str">
        <f>IF(CountyTBL="","",IF(AT2="9%",VLOOKUP(CountyTBL,TblData,AY8),VLOOKUP(CountyTBL,TblData,AX8)))</f>
        <v/>
      </c>
      <c r="J8" s="2207"/>
      <c r="K8" s="2207"/>
      <c r="L8" s="2207"/>
      <c r="M8" s="2207"/>
      <c r="N8" s="2207"/>
      <c r="O8" s="2207"/>
      <c r="P8" s="2207"/>
      <c r="Q8" s="2207"/>
      <c r="R8" s="2207"/>
      <c r="S8" s="2207"/>
      <c r="T8" s="2207"/>
      <c r="U8" s="2207"/>
      <c r="V8" s="2207"/>
      <c r="W8" s="2207"/>
      <c r="X8" s="2207"/>
      <c r="Y8" s="2208">
        <f ca="1">'Rents '!D22+'Rents '!D30+'Rents '!D38+'Rents '!D46+'Rents '!D54+'Rents '!D66+'Rents '!D74+'Rents '!D82+'Rents '!D90+'Rents '!D98+'Rents '!D106+SUMIF('Rents '!$C$112:$D$123,"3 Bdrm.",'Rents '!$D$112:$D$123)</f>
        <v>0</v>
      </c>
      <c r="Z8" s="2209"/>
      <c r="AA8" s="2209"/>
      <c r="AB8" s="2209"/>
      <c r="AC8" s="2209"/>
      <c r="AD8" s="2209"/>
      <c r="AE8" s="2209"/>
      <c r="AF8" s="2209"/>
      <c r="AG8" s="2209"/>
      <c r="AH8" s="2209"/>
      <c r="AI8" s="2209"/>
      <c r="AJ8" s="2209"/>
      <c r="AK8" s="2209"/>
      <c r="AL8" s="2209"/>
      <c r="AM8" s="2209"/>
      <c r="AN8" s="2210"/>
      <c r="AO8" s="2211">
        <f ca="1">IF(ISERROR((I8*Y8)),0,(I8*Y8))</f>
        <v>0</v>
      </c>
      <c r="AP8" s="2211"/>
      <c r="AQ8" s="2211"/>
      <c r="AR8" s="2211"/>
      <c r="AS8" s="2211"/>
      <c r="AT8" s="2211"/>
      <c r="AU8" s="2212"/>
      <c r="AX8" s="1126">
        <f t="shared" si="0"/>
        <v>5</v>
      </c>
      <c r="AY8" s="1126">
        <f>AY7+1</f>
        <v>10</v>
      </c>
      <c r="BA8" s="1118" t="s">
        <v>569</v>
      </c>
      <c r="BB8" s="1119">
        <v>312909</v>
      </c>
      <c r="BC8" s="1119">
        <v>360781</v>
      </c>
      <c r="BD8" s="1119">
        <v>435200</v>
      </c>
      <c r="BE8" s="1119">
        <v>557056</v>
      </c>
      <c r="BF8" s="1119">
        <v>620595</v>
      </c>
      <c r="BG8" s="1120">
        <v>272645</v>
      </c>
      <c r="BH8" s="1120">
        <v>314357</v>
      </c>
      <c r="BI8" s="1120">
        <v>379200</v>
      </c>
      <c r="BJ8" s="1120">
        <v>485376</v>
      </c>
      <c r="BK8" s="1120">
        <v>540739</v>
      </c>
      <c r="BL8" s="1116"/>
    </row>
    <row r="9" spans="1:64">
      <c r="A9" s="2205" t="s">
        <v>1587</v>
      </c>
      <c r="B9" s="2206"/>
      <c r="C9" s="2206"/>
      <c r="D9" s="2206"/>
      <c r="E9" s="2206"/>
      <c r="F9" s="2206"/>
      <c r="G9" s="2206"/>
      <c r="H9" s="2206"/>
      <c r="I9" s="2207" t="str">
        <f>IF(CountyTBL="","",IF(AT2="9%",VLOOKUP(CountyTBL,TblData,AY9),VLOOKUP(CountyTBL,TblData,AX9)))</f>
        <v/>
      </c>
      <c r="J9" s="2207"/>
      <c r="K9" s="2207"/>
      <c r="L9" s="2207"/>
      <c r="M9" s="2207"/>
      <c r="N9" s="2207"/>
      <c r="O9" s="2207"/>
      <c r="P9" s="2207"/>
      <c r="Q9" s="2207"/>
      <c r="R9" s="2207"/>
      <c r="S9" s="2207"/>
      <c r="T9" s="2207"/>
      <c r="U9" s="2207"/>
      <c r="V9" s="2207"/>
      <c r="W9" s="2207"/>
      <c r="X9" s="2207"/>
      <c r="Y9" s="2208">
        <f ca="1">'Rents '!D23+'Rents '!D31+'Rents '!D39+'Rents '!D47+'Rents '!D55+'Rents '!D67+'Rents '!D75+'Rents '!D83+'Rents '!D91+'Rents '!D99+'Rents '!D107+SUMIF('Rents '!$C$112:$D$123,"4 Bdrm.",'Rents '!$D$112:$D$123)+'Rents '!D24+'Rents '!D32+'Rents '!D40+'Rents '!D48+'Rents '!D56+'Rents '!D68+'Rents '!D76+'Rents '!D84+'Rents '!D92+'Rents '!D100+'Rents '!D108+SUMIF('Rents '!$C$112:$D$123,"5 Bdrm.",'Rents '!$D$112:$D$123)</f>
        <v>0</v>
      </c>
      <c r="Z9" s="2209"/>
      <c r="AA9" s="2209"/>
      <c r="AB9" s="2209"/>
      <c r="AC9" s="2209"/>
      <c r="AD9" s="2209"/>
      <c r="AE9" s="2209"/>
      <c r="AF9" s="2209"/>
      <c r="AG9" s="2209"/>
      <c r="AH9" s="2209"/>
      <c r="AI9" s="2209"/>
      <c r="AJ9" s="2209"/>
      <c r="AK9" s="2209"/>
      <c r="AL9" s="2209"/>
      <c r="AM9" s="2209"/>
      <c r="AN9" s="2210"/>
      <c r="AO9" s="2211">
        <f ca="1">IF(ISERROR((I9*Y9)),0,(I9*Y9))</f>
        <v>0</v>
      </c>
      <c r="AP9" s="2211"/>
      <c r="AQ9" s="2211"/>
      <c r="AR9" s="2211"/>
      <c r="AS9" s="2211"/>
      <c r="AT9" s="2211"/>
      <c r="AU9" s="2212"/>
      <c r="AX9" s="1126">
        <f t="shared" si="0"/>
        <v>6</v>
      </c>
      <c r="AY9" s="1126">
        <f>AY8+1</f>
        <v>11</v>
      </c>
      <c r="BA9" s="1122" t="s">
        <v>559</v>
      </c>
      <c r="BB9" s="1123">
        <v>237558</v>
      </c>
      <c r="BC9" s="1123">
        <v>273902</v>
      </c>
      <c r="BD9" s="1123">
        <v>330400</v>
      </c>
      <c r="BE9" s="1123">
        <v>422912</v>
      </c>
      <c r="BF9" s="1123">
        <v>471150</v>
      </c>
      <c r="BG9" s="1124">
        <v>207647</v>
      </c>
      <c r="BH9" s="1124">
        <v>239415</v>
      </c>
      <c r="BI9" s="1124">
        <v>288800</v>
      </c>
      <c r="BJ9" s="1124">
        <v>369664</v>
      </c>
      <c r="BK9" s="1124">
        <v>411829</v>
      </c>
      <c r="BL9" s="1116"/>
    </row>
    <row r="10" spans="1:64">
      <c r="A10" s="2213" t="s">
        <v>1588</v>
      </c>
      <c r="B10" s="2214"/>
      <c r="C10" s="2214"/>
      <c r="D10" s="2214"/>
      <c r="E10" s="2214"/>
      <c r="F10" s="2214"/>
      <c r="G10" s="2214"/>
      <c r="H10" s="2214"/>
      <c r="I10" s="2214"/>
      <c r="J10" s="2214"/>
      <c r="K10" s="2214"/>
      <c r="L10" s="2214"/>
      <c r="M10" s="2214"/>
      <c r="N10" s="2214"/>
      <c r="O10" s="2645"/>
      <c r="P10" s="2646"/>
      <c r="Q10" s="2646"/>
      <c r="R10" s="2646"/>
      <c r="S10" s="2647"/>
      <c r="T10" s="2215" t="s">
        <v>1589</v>
      </c>
      <c r="U10" s="2215"/>
      <c r="V10" s="2215"/>
      <c r="W10" s="2215"/>
      <c r="X10" s="2216"/>
      <c r="Y10" s="2217">
        <f ca="1">SUM(Y5:Y9)</f>
        <v>0</v>
      </c>
      <c r="Z10" s="2218"/>
      <c r="AA10" s="2218"/>
      <c r="AB10" s="2218"/>
      <c r="AC10" s="2218"/>
      <c r="AD10" s="2218"/>
      <c r="AE10" s="2218"/>
      <c r="AF10" s="2218"/>
      <c r="AG10" s="2218"/>
      <c r="AH10" s="2218"/>
      <c r="AI10" s="2218"/>
      <c r="AJ10" s="2218"/>
      <c r="AK10" s="2218"/>
      <c r="AL10" s="2218"/>
      <c r="AM10" s="2218"/>
      <c r="AN10" s="2219"/>
      <c r="AO10" s="2220"/>
      <c r="AP10" s="2221"/>
      <c r="AQ10" s="2221"/>
      <c r="AR10" s="2221"/>
      <c r="AS10" s="2221"/>
      <c r="AT10" s="2221"/>
      <c r="AU10" s="2222"/>
      <c r="BA10" s="1118" t="s">
        <v>570</v>
      </c>
      <c r="BB10" s="1119">
        <v>237558</v>
      </c>
      <c r="BC10" s="1119">
        <v>273902</v>
      </c>
      <c r="BD10" s="1119">
        <v>330400</v>
      </c>
      <c r="BE10" s="1119">
        <v>422912</v>
      </c>
      <c r="BF10" s="1119">
        <v>471150</v>
      </c>
      <c r="BG10" s="1120">
        <v>207647</v>
      </c>
      <c r="BH10" s="1120">
        <v>239415</v>
      </c>
      <c r="BI10" s="1120">
        <v>288800</v>
      </c>
      <c r="BJ10" s="1120">
        <v>369664</v>
      </c>
      <c r="BK10" s="1120">
        <v>411829</v>
      </c>
      <c r="BL10" s="1116"/>
    </row>
    <row r="11" spans="1:64" ht="15.75" thickBot="1">
      <c r="A11" s="2223" t="s">
        <v>1590</v>
      </c>
      <c r="B11" s="2224"/>
      <c r="C11" s="2224"/>
      <c r="D11" s="2224"/>
      <c r="E11" s="2224"/>
      <c r="F11" s="2224"/>
      <c r="G11" s="2224"/>
      <c r="H11" s="2224"/>
      <c r="I11" s="2224"/>
      <c r="J11" s="2224"/>
      <c r="K11" s="2224"/>
      <c r="L11" s="2224"/>
      <c r="M11" s="2224"/>
      <c r="N11" s="2224"/>
      <c r="O11" s="2224"/>
      <c r="P11" s="2224"/>
      <c r="Q11" s="2224"/>
      <c r="R11" s="2224"/>
      <c r="S11" s="2224"/>
      <c r="T11" s="2224"/>
      <c r="U11" s="2224"/>
      <c r="V11" s="2224"/>
      <c r="W11" s="2224"/>
      <c r="X11" s="2224"/>
      <c r="Y11" s="2224"/>
      <c r="Z11" s="2224"/>
      <c r="AA11" s="2224"/>
      <c r="AB11" s="2224"/>
      <c r="AC11" s="2224"/>
      <c r="AD11" s="2224"/>
      <c r="AE11" s="2224"/>
      <c r="AF11" s="2224"/>
      <c r="AG11" s="2224"/>
      <c r="AH11" s="2224"/>
      <c r="AI11" s="2224"/>
      <c r="AJ11" s="2224"/>
      <c r="AK11" s="2224"/>
      <c r="AL11" s="2224"/>
      <c r="AM11" s="2224"/>
      <c r="AN11" s="2225"/>
      <c r="AO11" s="2226">
        <f ca="1">SUM(AO5:AO9)</f>
        <v>0</v>
      </c>
      <c r="AP11" s="2227"/>
      <c r="AQ11" s="2227"/>
      <c r="AR11" s="2227"/>
      <c r="AS11" s="2227"/>
      <c r="AT11" s="2227"/>
      <c r="AU11" s="2228"/>
      <c r="BA11" s="1122" t="s">
        <v>571</v>
      </c>
      <c r="BB11" s="1123">
        <v>237558</v>
      </c>
      <c r="BC11" s="1123">
        <v>273902</v>
      </c>
      <c r="BD11" s="1123">
        <v>330400</v>
      </c>
      <c r="BE11" s="1123">
        <v>422912</v>
      </c>
      <c r="BF11" s="1123">
        <v>471150</v>
      </c>
      <c r="BG11" s="1124">
        <v>207647</v>
      </c>
      <c r="BH11" s="1124">
        <v>239415</v>
      </c>
      <c r="BI11" s="1124">
        <v>288800</v>
      </c>
      <c r="BJ11" s="1124">
        <v>369664</v>
      </c>
      <c r="BK11" s="1124">
        <v>411829</v>
      </c>
      <c r="BL11" s="1116"/>
    </row>
    <row r="12" spans="1:64" ht="15.75" thickBot="1">
      <c r="A12" s="2229" t="s">
        <v>1591</v>
      </c>
      <c r="B12" s="2230"/>
      <c r="C12" s="2230"/>
      <c r="D12" s="2230"/>
      <c r="E12" s="2230"/>
      <c r="F12" s="2230"/>
      <c r="G12" s="2230"/>
      <c r="H12" s="2230"/>
      <c r="I12" s="2230"/>
      <c r="J12" s="2230"/>
      <c r="K12" s="2230"/>
      <c r="L12" s="2230"/>
      <c r="M12" s="2230"/>
      <c r="N12" s="2230"/>
      <c r="O12" s="2230"/>
      <c r="P12" s="2230"/>
      <c r="Q12" s="2230"/>
      <c r="R12" s="2230"/>
      <c r="S12" s="2230"/>
      <c r="T12" s="2230"/>
      <c r="U12" s="2230"/>
      <c r="V12" s="2230"/>
      <c r="W12" s="2230"/>
      <c r="X12" s="2230"/>
      <c r="Y12" s="2230"/>
      <c r="Z12" s="2230"/>
      <c r="AA12" s="2230"/>
      <c r="AB12" s="2230"/>
      <c r="AC12" s="2230"/>
      <c r="AD12" s="2230"/>
      <c r="AE12" s="2230"/>
      <c r="AF12" s="2230"/>
      <c r="AG12" s="2230"/>
      <c r="AH12" s="2230"/>
      <c r="AI12" s="2230"/>
      <c r="AJ12" s="2230"/>
      <c r="AK12" s="2231"/>
      <c r="AL12" s="2232" t="s">
        <v>452</v>
      </c>
      <c r="AM12" s="2233"/>
      <c r="AN12" s="2234"/>
      <c r="AO12" s="2235"/>
      <c r="AP12" s="2236"/>
      <c r="AQ12" s="2236"/>
      <c r="AR12" s="2236"/>
      <c r="AS12" s="2236"/>
      <c r="AT12" s="2236"/>
      <c r="AU12" s="2237"/>
      <c r="BA12" s="1118" t="s">
        <v>572</v>
      </c>
      <c r="BB12" s="1119">
        <v>237558</v>
      </c>
      <c r="BC12" s="1119">
        <v>273902</v>
      </c>
      <c r="BD12" s="1119">
        <v>330400</v>
      </c>
      <c r="BE12" s="1119">
        <v>422912</v>
      </c>
      <c r="BF12" s="1119">
        <v>471150</v>
      </c>
      <c r="BG12" s="1120">
        <v>207647</v>
      </c>
      <c r="BH12" s="1120">
        <v>239415</v>
      </c>
      <c r="BI12" s="1120">
        <v>288800</v>
      </c>
      <c r="BJ12" s="1120">
        <v>369664</v>
      </c>
      <c r="BK12" s="1120">
        <v>411829</v>
      </c>
      <c r="BL12" s="1116"/>
    </row>
    <row r="13" spans="1:64" ht="15" customHeight="1">
      <c r="A13" s="1127" t="s">
        <v>1592</v>
      </c>
      <c r="B13" s="2238" t="s">
        <v>1593</v>
      </c>
      <c r="C13" s="2239"/>
      <c r="D13" s="2239"/>
      <c r="E13" s="2239"/>
      <c r="F13" s="2239"/>
      <c r="G13" s="2239"/>
      <c r="H13" s="2239"/>
      <c r="I13" s="2239"/>
      <c r="J13" s="2239"/>
      <c r="K13" s="2239"/>
      <c r="L13" s="2239"/>
      <c r="M13" s="2239"/>
      <c r="N13" s="2239"/>
      <c r="O13" s="2239"/>
      <c r="P13" s="2239"/>
      <c r="Q13" s="2239"/>
      <c r="R13" s="2239"/>
      <c r="S13" s="2239"/>
      <c r="T13" s="2239"/>
      <c r="U13" s="2239"/>
      <c r="V13" s="2239"/>
      <c r="W13" s="2239"/>
      <c r="X13" s="2239"/>
      <c r="Y13" s="2239"/>
      <c r="Z13" s="2239"/>
      <c r="AA13" s="2239"/>
      <c r="AB13" s="2239"/>
      <c r="AC13" s="2239"/>
      <c r="AD13" s="2239"/>
      <c r="AE13" s="2239"/>
      <c r="AF13" s="2239"/>
      <c r="AG13" s="2239"/>
      <c r="AH13" s="2239"/>
      <c r="AI13" s="2239"/>
      <c r="AJ13" s="2239"/>
      <c r="AK13" s="2240"/>
      <c r="AL13" s="2648"/>
      <c r="AM13" s="2648"/>
      <c r="AN13" s="2648"/>
      <c r="AO13" s="2243">
        <f>ROUND(IF(AL13="yes",AO11*0.2,0),0)</f>
        <v>0</v>
      </c>
      <c r="AP13" s="2244"/>
      <c r="AQ13" s="2244"/>
      <c r="AR13" s="2244"/>
      <c r="AS13" s="2244"/>
      <c r="AT13" s="2244"/>
      <c r="AU13" s="2245"/>
      <c r="BA13" s="1122" t="s">
        <v>573</v>
      </c>
      <c r="BB13" s="1123">
        <v>237558</v>
      </c>
      <c r="BC13" s="1123">
        <v>273902</v>
      </c>
      <c r="BD13" s="1123">
        <v>330400</v>
      </c>
      <c r="BE13" s="1123">
        <v>422912</v>
      </c>
      <c r="BF13" s="1123">
        <v>471150</v>
      </c>
      <c r="BG13" s="1124">
        <v>207647</v>
      </c>
      <c r="BH13" s="1124">
        <v>239415</v>
      </c>
      <c r="BI13" s="1124">
        <v>288800</v>
      </c>
      <c r="BJ13" s="1124">
        <v>369664</v>
      </c>
      <c r="BK13" s="1124">
        <v>411829</v>
      </c>
      <c r="BL13" s="1116"/>
    </row>
    <row r="14" spans="1:64" ht="26.25" customHeight="1">
      <c r="A14" s="1128"/>
      <c r="B14" s="2241"/>
      <c r="C14" s="2241"/>
      <c r="D14" s="2241"/>
      <c r="E14" s="2241"/>
      <c r="F14" s="2241"/>
      <c r="G14" s="2241"/>
      <c r="H14" s="2241"/>
      <c r="I14" s="2241"/>
      <c r="J14" s="2241"/>
      <c r="K14" s="2241"/>
      <c r="L14" s="2241"/>
      <c r="M14" s="2241"/>
      <c r="N14" s="2241"/>
      <c r="O14" s="2241"/>
      <c r="P14" s="2241"/>
      <c r="Q14" s="2241"/>
      <c r="R14" s="2241"/>
      <c r="S14" s="2241"/>
      <c r="T14" s="2241"/>
      <c r="U14" s="2241"/>
      <c r="V14" s="2241"/>
      <c r="W14" s="2241"/>
      <c r="X14" s="2241"/>
      <c r="Y14" s="2241"/>
      <c r="Z14" s="2241"/>
      <c r="AA14" s="2241"/>
      <c r="AB14" s="2241"/>
      <c r="AC14" s="2241"/>
      <c r="AD14" s="2241"/>
      <c r="AE14" s="2241"/>
      <c r="AF14" s="2241"/>
      <c r="AG14" s="2241"/>
      <c r="AH14" s="2241"/>
      <c r="AI14" s="2241"/>
      <c r="AJ14" s="2241"/>
      <c r="AK14" s="2242"/>
      <c r="AL14" s="2249"/>
      <c r="AM14" s="2249"/>
      <c r="AN14" s="2249"/>
      <c r="AO14" s="2246"/>
      <c r="AP14" s="2247"/>
      <c r="AQ14" s="2247"/>
      <c r="AR14" s="2247"/>
      <c r="AS14" s="2247"/>
      <c r="AT14" s="2247"/>
      <c r="AU14" s="2248"/>
      <c r="BA14" s="1118" t="s">
        <v>574</v>
      </c>
      <c r="BB14" s="1119">
        <v>237558</v>
      </c>
      <c r="BC14" s="1119">
        <v>273902</v>
      </c>
      <c r="BD14" s="1119">
        <v>330400</v>
      </c>
      <c r="BE14" s="1119">
        <v>422912</v>
      </c>
      <c r="BF14" s="1119">
        <v>471150</v>
      </c>
      <c r="BG14" s="1120">
        <v>207647</v>
      </c>
      <c r="BH14" s="1120">
        <v>239415</v>
      </c>
      <c r="BI14" s="1120">
        <v>288800</v>
      </c>
      <c r="BJ14" s="1120">
        <v>369664</v>
      </c>
      <c r="BK14" s="1120">
        <v>411829</v>
      </c>
      <c r="BL14" s="1116"/>
    </row>
    <row r="15" spans="1:64" ht="15" customHeight="1">
      <c r="A15" s="2250"/>
      <c r="B15" s="2252" t="s">
        <v>1594</v>
      </c>
      <c r="C15" s="2252"/>
      <c r="D15" s="2252"/>
      <c r="E15" s="2252"/>
      <c r="F15" s="2252"/>
      <c r="G15" s="2252"/>
      <c r="H15" s="2252"/>
      <c r="I15" s="2252"/>
      <c r="J15" s="2252"/>
      <c r="K15" s="2252"/>
      <c r="L15" s="2252"/>
      <c r="M15" s="2252"/>
      <c r="N15" s="2252"/>
      <c r="O15" s="2252"/>
      <c r="P15" s="2252"/>
      <c r="Q15" s="2252"/>
      <c r="R15" s="2252"/>
      <c r="S15" s="2252"/>
      <c r="T15" s="2252"/>
      <c r="U15" s="2252"/>
      <c r="V15" s="2252"/>
      <c r="W15" s="2252"/>
      <c r="X15" s="2252"/>
      <c r="Y15" s="2252"/>
      <c r="Z15" s="2252"/>
      <c r="AA15" s="2252"/>
      <c r="AB15" s="2252"/>
      <c r="AC15" s="2252"/>
      <c r="AD15" s="2252"/>
      <c r="AE15" s="2252"/>
      <c r="AF15" s="2252"/>
      <c r="AG15" s="2252"/>
      <c r="AH15" s="2252"/>
      <c r="AI15" s="2252"/>
      <c r="AJ15" s="2252"/>
      <c r="AK15" s="2253"/>
      <c r="AL15" s="2649"/>
      <c r="AM15" s="2649"/>
      <c r="AN15" s="2650"/>
      <c r="AO15" s="2256">
        <f>ROUND(IF(AL15="yes",AO11*0.05,0),0)</f>
        <v>0</v>
      </c>
      <c r="AP15" s="2257"/>
      <c r="AQ15" s="2257"/>
      <c r="AR15" s="2257"/>
      <c r="AS15" s="2257"/>
      <c r="AT15" s="2257"/>
      <c r="AU15" s="2258"/>
      <c r="BA15" s="1122" t="s">
        <v>575</v>
      </c>
      <c r="BB15" s="1123">
        <v>237558</v>
      </c>
      <c r="BC15" s="1123">
        <v>273902</v>
      </c>
      <c r="BD15" s="1123">
        <v>330400</v>
      </c>
      <c r="BE15" s="1123">
        <v>422912</v>
      </c>
      <c r="BF15" s="1123">
        <v>471150</v>
      </c>
      <c r="BG15" s="1124">
        <v>207647</v>
      </c>
      <c r="BH15" s="1124">
        <v>239415</v>
      </c>
      <c r="BI15" s="1124">
        <v>288800</v>
      </c>
      <c r="BJ15" s="1124">
        <v>369664</v>
      </c>
      <c r="BK15" s="1124">
        <v>411829</v>
      </c>
      <c r="BL15" s="1116"/>
    </row>
    <row r="16" spans="1:64" ht="37.5" customHeight="1" thickBot="1">
      <c r="A16" s="2251"/>
      <c r="B16" s="2254"/>
      <c r="C16" s="2254"/>
      <c r="D16" s="2254"/>
      <c r="E16" s="2254"/>
      <c r="F16" s="2254"/>
      <c r="G16" s="2254"/>
      <c r="H16" s="2254"/>
      <c r="I16" s="2254"/>
      <c r="J16" s="2254"/>
      <c r="K16" s="2254"/>
      <c r="L16" s="2254"/>
      <c r="M16" s="2254"/>
      <c r="N16" s="2254"/>
      <c r="O16" s="2254"/>
      <c r="P16" s="2254"/>
      <c r="Q16" s="2254"/>
      <c r="R16" s="2254"/>
      <c r="S16" s="2254"/>
      <c r="T16" s="2254"/>
      <c r="U16" s="2254"/>
      <c r="V16" s="2254"/>
      <c r="W16" s="2254"/>
      <c r="X16" s="2254"/>
      <c r="Y16" s="2254"/>
      <c r="Z16" s="2254"/>
      <c r="AA16" s="2254"/>
      <c r="AB16" s="2254"/>
      <c r="AC16" s="2254"/>
      <c r="AD16" s="2254"/>
      <c r="AE16" s="2254"/>
      <c r="AF16" s="2254"/>
      <c r="AG16" s="2254"/>
      <c r="AH16" s="2254"/>
      <c r="AI16" s="2254"/>
      <c r="AJ16" s="2254"/>
      <c r="AK16" s="2255"/>
      <c r="AL16" s="2262"/>
      <c r="AM16" s="2262"/>
      <c r="AN16" s="2262"/>
      <c r="AO16" s="2259"/>
      <c r="AP16" s="2260"/>
      <c r="AQ16" s="2260"/>
      <c r="AR16" s="2260"/>
      <c r="AS16" s="2260"/>
      <c r="AT16" s="2260"/>
      <c r="AU16" s="2261"/>
      <c r="BA16" s="1118" t="s">
        <v>576</v>
      </c>
      <c r="BB16" s="1119">
        <v>237558</v>
      </c>
      <c r="BC16" s="1119">
        <v>273902</v>
      </c>
      <c r="BD16" s="1119">
        <v>330400</v>
      </c>
      <c r="BE16" s="1119">
        <v>422912</v>
      </c>
      <c r="BF16" s="1119">
        <v>471150</v>
      </c>
      <c r="BG16" s="1120">
        <v>207647</v>
      </c>
      <c r="BH16" s="1120">
        <v>239415</v>
      </c>
      <c r="BI16" s="1120">
        <v>288800</v>
      </c>
      <c r="BJ16" s="1120">
        <v>369664</v>
      </c>
      <c r="BK16" s="1120">
        <v>411829</v>
      </c>
      <c r="BL16" s="1116"/>
    </row>
    <row r="17" spans="1:64" ht="15" customHeight="1">
      <c r="A17" s="1127" t="s">
        <v>1595</v>
      </c>
      <c r="B17" s="2263" t="s">
        <v>1596</v>
      </c>
      <c r="C17" s="2263"/>
      <c r="D17" s="2263"/>
      <c r="E17" s="2263"/>
      <c r="F17" s="2263"/>
      <c r="G17" s="2263"/>
      <c r="H17" s="2263"/>
      <c r="I17" s="2263"/>
      <c r="J17" s="2263"/>
      <c r="K17" s="2263"/>
      <c r="L17" s="2263"/>
      <c r="M17" s="2263"/>
      <c r="N17" s="2263"/>
      <c r="O17" s="2263"/>
      <c r="P17" s="2263"/>
      <c r="Q17" s="2263"/>
      <c r="R17" s="2263"/>
      <c r="S17" s="2263"/>
      <c r="T17" s="2263"/>
      <c r="U17" s="2263"/>
      <c r="V17" s="2263"/>
      <c r="W17" s="2263"/>
      <c r="X17" s="2263"/>
      <c r="Y17" s="2263"/>
      <c r="Z17" s="2263"/>
      <c r="AA17" s="2263"/>
      <c r="AB17" s="2263"/>
      <c r="AC17" s="2263"/>
      <c r="AD17" s="2263"/>
      <c r="AE17" s="2263"/>
      <c r="AF17" s="2263"/>
      <c r="AG17" s="2263"/>
      <c r="AH17" s="2263"/>
      <c r="AI17" s="2263"/>
      <c r="AJ17" s="2263"/>
      <c r="AK17" s="2264"/>
      <c r="AL17" s="2648"/>
      <c r="AM17" s="2648"/>
      <c r="AN17" s="2651"/>
      <c r="AO17" s="2244">
        <f>ROUND(IF(AL17="yes",AO11*0.07,0),0)</f>
        <v>0</v>
      </c>
      <c r="AP17" s="2244"/>
      <c r="AQ17" s="2244"/>
      <c r="AR17" s="2244"/>
      <c r="AS17" s="2244"/>
      <c r="AT17" s="2244"/>
      <c r="AU17" s="2245"/>
      <c r="BA17" s="1122" t="s">
        <v>577</v>
      </c>
      <c r="BB17" s="1123">
        <v>237558</v>
      </c>
      <c r="BC17" s="1123">
        <v>273902</v>
      </c>
      <c r="BD17" s="1123">
        <v>330400</v>
      </c>
      <c r="BE17" s="1123">
        <v>422912</v>
      </c>
      <c r="BF17" s="1123">
        <v>471150</v>
      </c>
      <c r="BG17" s="1124">
        <v>207647</v>
      </c>
      <c r="BH17" s="1124">
        <v>239415</v>
      </c>
      <c r="BI17" s="1124">
        <v>288800</v>
      </c>
      <c r="BJ17" s="1124">
        <v>369664</v>
      </c>
      <c r="BK17" s="1124">
        <v>411829</v>
      </c>
      <c r="BL17" s="1116"/>
    </row>
    <row r="18" spans="1:64" ht="11.25" customHeight="1" thickBot="1">
      <c r="A18" s="1129"/>
      <c r="B18" s="2254"/>
      <c r="C18" s="2254"/>
      <c r="D18" s="2254"/>
      <c r="E18" s="2254"/>
      <c r="F18" s="2254"/>
      <c r="G18" s="2254"/>
      <c r="H18" s="2254"/>
      <c r="I18" s="2254"/>
      <c r="J18" s="2254"/>
      <c r="K18" s="2254"/>
      <c r="L18" s="2254"/>
      <c r="M18" s="2254"/>
      <c r="N18" s="2254"/>
      <c r="O18" s="2254"/>
      <c r="P18" s="2254"/>
      <c r="Q18" s="2254"/>
      <c r="R18" s="2254"/>
      <c r="S18" s="2254"/>
      <c r="T18" s="2254"/>
      <c r="U18" s="2254"/>
      <c r="V18" s="2254"/>
      <c r="W18" s="2254"/>
      <c r="X18" s="2254"/>
      <c r="Y18" s="2254"/>
      <c r="Z18" s="2254"/>
      <c r="AA18" s="2254"/>
      <c r="AB18" s="2254"/>
      <c r="AC18" s="2254"/>
      <c r="AD18" s="2254"/>
      <c r="AE18" s="2254"/>
      <c r="AF18" s="2254"/>
      <c r="AG18" s="2254"/>
      <c r="AH18" s="2254"/>
      <c r="AI18" s="2254"/>
      <c r="AJ18" s="2254"/>
      <c r="AK18" s="2255"/>
      <c r="AL18" s="2262"/>
      <c r="AM18" s="2262"/>
      <c r="AN18" s="2262"/>
      <c r="AO18" s="2260"/>
      <c r="AP18" s="2260"/>
      <c r="AQ18" s="2260"/>
      <c r="AR18" s="2260"/>
      <c r="AS18" s="2260"/>
      <c r="AT18" s="2260"/>
      <c r="AU18" s="2261"/>
      <c r="BA18" s="1118" t="s">
        <v>578</v>
      </c>
      <c r="BB18" s="1119">
        <v>237558</v>
      </c>
      <c r="BC18" s="1119">
        <v>273902</v>
      </c>
      <c r="BD18" s="1119">
        <v>330400</v>
      </c>
      <c r="BE18" s="1119">
        <v>422912</v>
      </c>
      <c r="BF18" s="1119">
        <v>471150</v>
      </c>
      <c r="BG18" s="1120">
        <v>207647</v>
      </c>
      <c r="BH18" s="1120">
        <v>239415</v>
      </c>
      <c r="BI18" s="1120">
        <v>288800</v>
      </c>
      <c r="BJ18" s="1120">
        <v>369664</v>
      </c>
      <c r="BK18" s="1120">
        <v>411829</v>
      </c>
      <c r="BL18" s="1116"/>
    </row>
    <row r="19" spans="1:64" ht="15" customHeight="1" thickBot="1">
      <c r="A19" s="1127" t="s">
        <v>1597</v>
      </c>
      <c r="B19" s="2272" t="s">
        <v>1598</v>
      </c>
      <c r="C19" s="2272"/>
      <c r="D19" s="2272"/>
      <c r="E19" s="2272"/>
      <c r="F19" s="2272"/>
      <c r="G19" s="2272"/>
      <c r="H19" s="2272"/>
      <c r="I19" s="2272"/>
      <c r="J19" s="2272"/>
      <c r="K19" s="2272"/>
      <c r="L19" s="2272"/>
      <c r="M19" s="2272"/>
      <c r="N19" s="2272"/>
      <c r="O19" s="2272"/>
      <c r="P19" s="2272"/>
      <c r="Q19" s="2272"/>
      <c r="R19" s="2272"/>
      <c r="S19" s="2272"/>
      <c r="T19" s="2272"/>
      <c r="U19" s="2272"/>
      <c r="V19" s="2272"/>
      <c r="W19" s="2272"/>
      <c r="X19" s="2272"/>
      <c r="Y19" s="2272"/>
      <c r="Z19" s="2272"/>
      <c r="AA19" s="2272"/>
      <c r="AB19" s="2272"/>
      <c r="AC19" s="2272"/>
      <c r="AD19" s="2272"/>
      <c r="AE19" s="2272"/>
      <c r="AF19" s="2272"/>
      <c r="AG19" s="2272"/>
      <c r="AH19" s="2272"/>
      <c r="AI19" s="2272"/>
      <c r="AJ19" s="2272"/>
      <c r="AK19" s="2273"/>
      <c r="AL19" s="2652"/>
      <c r="AM19" s="2653"/>
      <c r="AN19" s="2654"/>
      <c r="AO19" s="2243">
        <f>ROUND(IF(AL19="yes",AO11*0.02,0),0)</f>
        <v>0</v>
      </c>
      <c r="AP19" s="2244"/>
      <c r="AQ19" s="2244"/>
      <c r="AR19" s="2244"/>
      <c r="AS19" s="2244"/>
      <c r="AT19" s="2244"/>
      <c r="AU19" s="2245"/>
      <c r="BA19" s="1122" t="s">
        <v>579</v>
      </c>
      <c r="BB19" s="1123">
        <v>237558</v>
      </c>
      <c r="BC19" s="1123">
        <v>273902</v>
      </c>
      <c r="BD19" s="1123">
        <v>330400</v>
      </c>
      <c r="BE19" s="1123">
        <v>422912</v>
      </c>
      <c r="BF19" s="1123">
        <v>471150</v>
      </c>
      <c r="BG19" s="1124">
        <v>207647</v>
      </c>
      <c r="BH19" s="1124">
        <v>239415</v>
      </c>
      <c r="BI19" s="1124">
        <v>288800</v>
      </c>
      <c r="BJ19" s="1124">
        <v>369664</v>
      </c>
      <c r="BK19" s="1124">
        <v>411829</v>
      </c>
      <c r="BL19" s="1116"/>
    </row>
    <row r="20" spans="1:64" ht="15" customHeight="1" thickBot="1">
      <c r="A20" s="1127" t="s">
        <v>1599</v>
      </c>
      <c r="B20" s="2272" t="s">
        <v>1600</v>
      </c>
      <c r="C20" s="2272"/>
      <c r="D20" s="2272"/>
      <c r="E20" s="2272"/>
      <c r="F20" s="2272"/>
      <c r="G20" s="2272"/>
      <c r="H20" s="2272"/>
      <c r="I20" s="2272"/>
      <c r="J20" s="2272"/>
      <c r="K20" s="2272"/>
      <c r="L20" s="2272"/>
      <c r="M20" s="2272"/>
      <c r="N20" s="2272"/>
      <c r="O20" s="2272"/>
      <c r="P20" s="2272"/>
      <c r="Q20" s="2272"/>
      <c r="R20" s="2272"/>
      <c r="S20" s="2272"/>
      <c r="T20" s="2272"/>
      <c r="U20" s="2272"/>
      <c r="V20" s="2272"/>
      <c r="W20" s="2272"/>
      <c r="X20" s="2272"/>
      <c r="Y20" s="2272"/>
      <c r="Z20" s="2272"/>
      <c r="AA20" s="2272"/>
      <c r="AB20" s="2272"/>
      <c r="AC20" s="2272"/>
      <c r="AD20" s="2272"/>
      <c r="AE20" s="2272"/>
      <c r="AF20" s="2272"/>
      <c r="AG20" s="2272"/>
      <c r="AH20" s="2272"/>
      <c r="AI20" s="2272"/>
      <c r="AJ20" s="2272"/>
      <c r="AK20" s="2273"/>
      <c r="AL20" s="2652"/>
      <c r="AM20" s="2653"/>
      <c r="AN20" s="2654"/>
      <c r="AO20" s="2274">
        <f>ROUND(IF(AL20="yes",AO11*0.02,0),0)</f>
        <v>0</v>
      </c>
      <c r="AP20" s="2274"/>
      <c r="AQ20" s="2274"/>
      <c r="AR20" s="2274"/>
      <c r="AS20" s="2274"/>
      <c r="AT20" s="2274"/>
      <c r="AU20" s="2275"/>
      <c r="BA20" s="1118" t="s">
        <v>580</v>
      </c>
      <c r="BB20" s="1119">
        <v>247911</v>
      </c>
      <c r="BC20" s="1119">
        <v>285839</v>
      </c>
      <c r="BD20" s="1119">
        <v>344800</v>
      </c>
      <c r="BE20" s="1119">
        <v>441344</v>
      </c>
      <c r="BF20" s="1119">
        <v>491685</v>
      </c>
      <c r="BG20" s="1120">
        <v>218001</v>
      </c>
      <c r="BH20" s="1120">
        <v>251353</v>
      </c>
      <c r="BI20" s="1120">
        <v>303200</v>
      </c>
      <c r="BJ20" s="1120">
        <v>388096</v>
      </c>
      <c r="BK20" s="1120">
        <v>432363</v>
      </c>
      <c r="BL20" s="1116"/>
    </row>
    <row r="21" spans="1:64" ht="15" customHeight="1">
      <c r="A21" s="1127" t="s">
        <v>1601</v>
      </c>
      <c r="B21" s="2303" t="s">
        <v>1602</v>
      </c>
      <c r="C21" s="2263"/>
      <c r="D21" s="2263"/>
      <c r="E21" s="2263"/>
      <c r="F21" s="2263"/>
      <c r="G21" s="2263"/>
      <c r="H21" s="2263"/>
      <c r="I21" s="2263"/>
      <c r="J21" s="2263"/>
      <c r="K21" s="2263"/>
      <c r="L21" s="2263"/>
      <c r="M21" s="2263"/>
      <c r="N21" s="2263"/>
      <c r="O21" s="2263"/>
      <c r="P21" s="2263"/>
      <c r="Q21" s="2263"/>
      <c r="R21" s="2263"/>
      <c r="S21" s="2263"/>
      <c r="T21" s="2263"/>
      <c r="U21" s="2263"/>
      <c r="V21" s="2263"/>
      <c r="W21" s="2263"/>
      <c r="X21" s="2263"/>
      <c r="Y21" s="2263"/>
      <c r="Z21" s="2263"/>
      <c r="AA21" s="2263"/>
      <c r="AB21" s="2263"/>
      <c r="AC21" s="2263"/>
      <c r="AD21" s="2263"/>
      <c r="AE21" s="2263"/>
      <c r="AF21" s="2263"/>
      <c r="AG21" s="2263"/>
      <c r="AH21" s="2263"/>
      <c r="AI21" s="2263"/>
      <c r="AJ21" s="2263"/>
      <c r="AK21" s="2263"/>
      <c r="AL21" s="2655"/>
      <c r="AM21" s="2656"/>
      <c r="AN21" s="2656"/>
      <c r="AO21" s="2243">
        <f>ROUND(IF(AL21="yes",(AO11*0.1),0),0)</f>
        <v>0</v>
      </c>
      <c r="AP21" s="2244"/>
      <c r="AQ21" s="2244"/>
      <c r="AR21" s="2244"/>
      <c r="AS21" s="2244"/>
      <c r="AT21" s="2244"/>
      <c r="AU21" s="2245"/>
      <c r="BA21" s="1122" t="s">
        <v>581</v>
      </c>
      <c r="BB21" s="1123">
        <v>237558</v>
      </c>
      <c r="BC21" s="1123">
        <v>273902</v>
      </c>
      <c r="BD21" s="1123">
        <v>330400</v>
      </c>
      <c r="BE21" s="1123">
        <v>422912</v>
      </c>
      <c r="BF21" s="1123">
        <v>471150</v>
      </c>
      <c r="BG21" s="1124">
        <v>207647</v>
      </c>
      <c r="BH21" s="1124">
        <v>239415</v>
      </c>
      <c r="BI21" s="1124">
        <v>288800</v>
      </c>
      <c r="BJ21" s="1124">
        <v>369664</v>
      </c>
      <c r="BK21" s="1124">
        <v>411829</v>
      </c>
      <c r="BL21" s="1116"/>
    </row>
    <row r="22" spans="1:64" ht="9" customHeight="1" thickBot="1">
      <c r="A22" s="1130"/>
      <c r="B22" s="2304"/>
      <c r="C22" s="2254"/>
      <c r="D22" s="2254"/>
      <c r="E22" s="2254"/>
      <c r="F22" s="2254"/>
      <c r="G22" s="2254"/>
      <c r="H22" s="2254"/>
      <c r="I22" s="2254"/>
      <c r="J22" s="2254"/>
      <c r="K22" s="2254"/>
      <c r="L22" s="2254"/>
      <c r="M22" s="2254"/>
      <c r="N22" s="2254"/>
      <c r="O22" s="2254"/>
      <c r="P22" s="2254"/>
      <c r="Q22" s="2254"/>
      <c r="R22" s="2254"/>
      <c r="S22" s="2254"/>
      <c r="T22" s="2254"/>
      <c r="U22" s="2254"/>
      <c r="V22" s="2254"/>
      <c r="W22" s="2254"/>
      <c r="X22" s="2254"/>
      <c r="Y22" s="2254"/>
      <c r="Z22" s="2254"/>
      <c r="AA22" s="2254"/>
      <c r="AB22" s="2254"/>
      <c r="AC22" s="2254"/>
      <c r="AD22" s="2254"/>
      <c r="AE22" s="2254"/>
      <c r="AF22" s="2254"/>
      <c r="AG22" s="2254"/>
      <c r="AH22" s="2254"/>
      <c r="AI22" s="2254"/>
      <c r="AJ22" s="2254"/>
      <c r="AK22" s="2254"/>
      <c r="AL22" s="2305"/>
      <c r="AM22" s="2305"/>
      <c r="AN22" s="2305"/>
      <c r="AO22" s="2259"/>
      <c r="AP22" s="2260"/>
      <c r="AQ22" s="2260"/>
      <c r="AR22" s="2260"/>
      <c r="AS22" s="2260"/>
      <c r="AT22" s="2260"/>
      <c r="AU22" s="2261"/>
      <c r="BA22" s="1118" t="s">
        <v>582</v>
      </c>
      <c r="BB22" s="1119">
        <v>293352</v>
      </c>
      <c r="BC22" s="1119">
        <v>338232</v>
      </c>
      <c r="BD22" s="1119">
        <v>408000</v>
      </c>
      <c r="BE22" s="1119">
        <v>522240</v>
      </c>
      <c r="BF22" s="1119">
        <v>581808</v>
      </c>
      <c r="BG22" s="1120">
        <v>253663</v>
      </c>
      <c r="BH22" s="1120">
        <v>292471</v>
      </c>
      <c r="BI22" s="1120">
        <v>352800</v>
      </c>
      <c r="BJ22" s="1120">
        <v>451584</v>
      </c>
      <c r="BK22" s="1120">
        <v>503093</v>
      </c>
      <c r="BL22" s="1116"/>
    </row>
    <row r="23" spans="1:64" ht="15" customHeight="1">
      <c r="A23" s="2265" t="s">
        <v>1603</v>
      </c>
      <c r="B23" s="2263" t="s">
        <v>1604</v>
      </c>
      <c r="C23" s="2263"/>
      <c r="D23" s="2263"/>
      <c r="E23" s="2263"/>
      <c r="F23" s="2263"/>
      <c r="G23" s="2263"/>
      <c r="H23" s="2263"/>
      <c r="I23" s="2263"/>
      <c r="J23" s="2263"/>
      <c r="K23" s="2263"/>
      <c r="L23" s="2263"/>
      <c r="M23" s="2263"/>
      <c r="N23" s="2263"/>
      <c r="O23" s="2263"/>
      <c r="P23" s="2263"/>
      <c r="Q23" s="2263"/>
      <c r="R23" s="2263"/>
      <c r="S23" s="2263"/>
      <c r="T23" s="2263"/>
      <c r="U23" s="2263"/>
      <c r="V23" s="2263"/>
      <c r="W23" s="2263"/>
      <c r="X23" s="2263"/>
      <c r="Y23" s="2263"/>
      <c r="Z23" s="2263"/>
      <c r="AA23" s="2263"/>
      <c r="AB23" s="2263"/>
      <c r="AC23" s="2263"/>
      <c r="AD23" s="2263"/>
      <c r="AE23" s="2263"/>
      <c r="AF23" s="2263"/>
      <c r="AG23" s="2263"/>
      <c r="AH23" s="2263"/>
      <c r="AI23" s="2263"/>
      <c r="AJ23" s="2263"/>
      <c r="AK23" s="2264"/>
      <c r="AL23" s="2648"/>
      <c r="AM23" s="2648"/>
      <c r="AN23" s="2651"/>
      <c r="AO23" s="2257">
        <f>IF(SUM(AL25:AL41)&gt;0.005,MIN(0.1,SUM(AL25:AL41))*AO11,0)</f>
        <v>0</v>
      </c>
      <c r="AP23" s="2257"/>
      <c r="AQ23" s="2257"/>
      <c r="AR23" s="2257"/>
      <c r="AS23" s="2257"/>
      <c r="AT23" s="2257"/>
      <c r="AU23" s="2258"/>
      <c r="BA23" s="1122" t="s">
        <v>583</v>
      </c>
      <c r="BB23" s="1123">
        <v>237558</v>
      </c>
      <c r="BC23" s="1123">
        <v>273902</v>
      </c>
      <c r="BD23" s="1123">
        <v>330400</v>
      </c>
      <c r="BE23" s="1123">
        <v>422912</v>
      </c>
      <c r="BF23" s="1123">
        <v>471150</v>
      </c>
      <c r="BG23" s="1124">
        <v>207647</v>
      </c>
      <c r="BH23" s="1124">
        <v>239415</v>
      </c>
      <c r="BI23" s="1124">
        <v>288800</v>
      </c>
      <c r="BJ23" s="1124">
        <v>369664</v>
      </c>
      <c r="BK23" s="1124">
        <v>411829</v>
      </c>
      <c r="BL23" s="1116"/>
    </row>
    <row r="24" spans="1:64" ht="11.25" customHeight="1">
      <c r="A24" s="2266"/>
      <c r="B24" s="2267"/>
      <c r="C24" s="2267"/>
      <c r="D24" s="2267"/>
      <c r="E24" s="2267"/>
      <c r="F24" s="2267"/>
      <c r="G24" s="2267"/>
      <c r="H24" s="2267"/>
      <c r="I24" s="2267"/>
      <c r="J24" s="2267"/>
      <c r="K24" s="2267"/>
      <c r="L24" s="2267"/>
      <c r="M24" s="2267"/>
      <c r="N24" s="2267"/>
      <c r="O24" s="2267"/>
      <c r="P24" s="2267"/>
      <c r="Q24" s="2267"/>
      <c r="R24" s="2267"/>
      <c r="S24" s="2267"/>
      <c r="T24" s="2267"/>
      <c r="U24" s="2267"/>
      <c r="V24" s="2267"/>
      <c r="W24" s="2267"/>
      <c r="X24" s="2267"/>
      <c r="Y24" s="2267"/>
      <c r="Z24" s="2267"/>
      <c r="AA24" s="2267"/>
      <c r="AB24" s="2267"/>
      <c r="AC24" s="2267"/>
      <c r="AD24" s="2267"/>
      <c r="AE24" s="2267"/>
      <c r="AF24" s="2267"/>
      <c r="AG24" s="2267"/>
      <c r="AH24" s="2267"/>
      <c r="AI24" s="2267"/>
      <c r="AJ24" s="2267"/>
      <c r="AK24" s="2268"/>
      <c r="AL24" s="2269"/>
      <c r="AM24" s="2270"/>
      <c r="AN24" s="2271"/>
      <c r="AO24" s="2257"/>
      <c r="AP24" s="2257"/>
      <c r="AQ24" s="2257"/>
      <c r="AR24" s="2257"/>
      <c r="AS24" s="2257"/>
      <c r="AT24" s="2257"/>
      <c r="AU24" s="2258"/>
      <c r="BA24" s="1118" t="s">
        <v>584</v>
      </c>
      <c r="BB24" s="1119">
        <v>237558</v>
      </c>
      <c r="BC24" s="1119">
        <v>273902</v>
      </c>
      <c r="BD24" s="1119">
        <v>330400</v>
      </c>
      <c r="BE24" s="1119">
        <v>422912</v>
      </c>
      <c r="BF24" s="1119">
        <v>471150</v>
      </c>
      <c r="BG24" s="1120">
        <v>207647</v>
      </c>
      <c r="BH24" s="1120">
        <v>239415</v>
      </c>
      <c r="BI24" s="1120">
        <v>288800</v>
      </c>
      <c r="BJ24" s="1120">
        <v>369664</v>
      </c>
      <c r="BK24" s="1120">
        <v>411829</v>
      </c>
      <c r="BL24" s="1116"/>
    </row>
    <row r="25" spans="1:64" ht="15" customHeight="1">
      <c r="A25" s="2306" t="s">
        <v>1605</v>
      </c>
      <c r="B25" s="2288" t="s">
        <v>1606</v>
      </c>
      <c r="C25" s="2289"/>
      <c r="D25" s="2289"/>
      <c r="E25" s="2289"/>
      <c r="F25" s="2289"/>
      <c r="G25" s="2289"/>
      <c r="H25" s="2289"/>
      <c r="I25" s="2289"/>
      <c r="J25" s="2289"/>
      <c r="K25" s="2289"/>
      <c r="L25" s="2289"/>
      <c r="M25" s="2289"/>
      <c r="N25" s="2289"/>
      <c r="O25" s="2289"/>
      <c r="P25" s="2289"/>
      <c r="Q25" s="2289"/>
      <c r="R25" s="2289"/>
      <c r="S25" s="2289"/>
      <c r="T25" s="2289"/>
      <c r="U25" s="2289"/>
      <c r="V25" s="2289"/>
      <c r="W25" s="2289"/>
      <c r="X25" s="2289"/>
      <c r="Y25" s="2289"/>
      <c r="Z25" s="2289"/>
      <c r="AA25" s="2289"/>
      <c r="AB25" s="2289"/>
      <c r="AC25" s="2289"/>
      <c r="AD25" s="2289"/>
      <c r="AE25" s="2289"/>
      <c r="AF25" s="2289"/>
      <c r="AG25" s="2289"/>
      <c r="AH25" s="2289"/>
      <c r="AI25" s="2289"/>
      <c r="AJ25" s="2289"/>
      <c r="AK25" s="2290"/>
      <c r="AL25" s="2294"/>
      <c r="AM25" s="2295"/>
      <c r="AN25" s="2296"/>
      <c r="AO25" s="2276"/>
      <c r="AP25" s="2277"/>
      <c r="AQ25" s="2277"/>
      <c r="AR25" s="2277"/>
      <c r="AS25" s="2277"/>
      <c r="AT25" s="2277"/>
      <c r="AU25" s="2278"/>
      <c r="BA25" s="1122" t="s">
        <v>585</v>
      </c>
      <c r="BB25" s="1123">
        <v>237558</v>
      </c>
      <c r="BC25" s="1123">
        <v>273902</v>
      </c>
      <c r="BD25" s="1123">
        <v>330400</v>
      </c>
      <c r="BE25" s="1123">
        <v>422912</v>
      </c>
      <c r="BF25" s="1123">
        <v>471150</v>
      </c>
      <c r="BG25" s="1124">
        <v>207647</v>
      </c>
      <c r="BH25" s="1124">
        <v>239415</v>
      </c>
      <c r="BI25" s="1124">
        <v>288800</v>
      </c>
      <c r="BJ25" s="1124">
        <v>369664</v>
      </c>
      <c r="BK25" s="1124">
        <v>411829</v>
      </c>
      <c r="BL25" s="1116"/>
    </row>
    <row r="26" spans="1:64" ht="71.25" customHeight="1">
      <c r="A26" s="2307"/>
      <c r="B26" s="2291"/>
      <c r="C26" s="2292"/>
      <c r="D26" s="2292"/>
      <c r="E26" s="2292"/>
      <c r="F26" s="2292"/>
      <c r="G26" s="2292"/>
      <c r="H26" s="2292"/>
      <c r="I26" s="2292"/>
      <c r="J26" s="2292"/>
      <c r="K26" s="2292"/>
      <c r="L26" s="2292"/>
      <c r="M26" s="2292"/>
      <c r="N26" s="2292"/>
      <c r="O26" s="2292"/>
      <c r="P26" s="2292"/>
      <c r="Q26" s="2292"/>
      <c r="R26" s="2292"/>
      <c r="S26" s="2292"/>
      <c r="T26" s="2292"/>
      <c r="U26" s="2292"/>
      <c r="V26" s="2292"/>
      <c r="W26" s="2292"/>
      <c r="X26" s="2292"/>
      <c r="Y26" s="2292"/>
      <c r="Z26" s="2292"/>
      <c r="AA26" s="2292"/>
      <c r="AB26" s="2292"/>
      <c r="AC26" s="2292"/>
      <c r="AD26" s="2292"/>
      <c r="AE26" s="2292"/>
      <c r="AF26" s="2292"/>
      <c r="AG26" s="2292"/>
      <c r="AH26" s="2292"/>
      <c r="AI26" s="2292"/>
      <c r="AJ26" s="2292"/>
      <c r="AK26" s="2293"/>
      <c r="AL26" s="2285">
        <f>IF(AL25="Yes",0.05,0)</f>
        <v>0</v>
      </c>
      <c r="AM26" s="2286"/>
      <c r="AN26" s="2287"/>
      <c r="AO26" s="2279"/>
      <c r="AP26" s="2280"/>
      <c r="AQ26" s="2280"/>
      <c r="AR26" s="2280"/>
      <c r="AS26" s="2280"/>
      <c r="AT26" s="2280"/>
      <c r="AU26" s="2281"/>
      <c r="BA26" s="1118" t="s">
        <v>586</v>
      </c>
      <c r="BB26" s="1119">
        <v>237558</v>
      </c>
      <c r="BC26" s="1119">
        <v>273902</v>
      </c>
      <c r="BD26" s="1119">
        <v>330400</v>
      </c>
      <c r="BE26" s="1119">
        <v>422912</v>
      </c>
      <c r="BF26" s="1119">
        <v>471150</v>
      </c>
      <c r="BG26" s="1120">
        <v>207647</v>
      </c>
      <c r="BH26" s="1120">
        <v>239415</v>
      </c>
      <c r="BI26" s="1120">
        <v>288800</v>
      </c>
      <c r="BJ26" s="1120">
        <v>369664</v>
      </c>
      <c r="BK26" s="1120">
        <v>411829</v>
      </c>
      <c r="BL26" s="1116"/>
    </row>
    <row r="27" spans="1:64" ht="15" customHeight="1">
      <c r="A27" s="2307"/>
      <c r="B27" s="2288" t="s">
        <v>1607</v>
      </c>
      <c r="C27" s="2289"/>
      <c r="D27" s="2289"/>
      <c r="E27" s="2289"/>
      <c r="F27" s="2289"/>
      <c r="G27" s="2289"/>
      <c r="H27" s="2289"/>
      <c r="I27" s="2289"/>
      <c r="J27" s="2289"/>
      <c r="K27" s="2289"/>
      <c r="L27" s="2289"/>
      <c r="M27" s="2289"/>
      <c r="N27" s="2289"/>
      <c r="O27" s="2289"/>
      <c r="P27" s="2289"/>
      <c r="Q27" s="2289"/>
      <c r="R27" s="2289"/>
      <c r="S27" s="2289"/>
      <c r="T27" s="2289"/>
      <c r="U27" s="2289"/>
      <c r="V27" s="2289"/>
      <c r="W27" s="2289"/>
      <c r="X27" s="2289"/>
      <c r="Y27" s="2289"/>
      <c r="Z27" s="2289"/>
      <c r="AA27" s="2289"/>
      <c r="AB27" s="2289"/>
      <c r="AC27" s="2289"/>
      <c r="AD27" s="2289"/>
      <c r="AE27" s="2289"/>
      <c r="AF27" s="2289"/>
      <c r="AG27" s="2289"/>
      <c r="AH27" s="2289"/>
      <c r="AI27" s="2289"/>
      <c r="AJ27" s="2289"/>
      <c r="AK27" s="2290"/>
      <c r="AL27" s="2294"/>
      <c r="AM27" s="2295"/>
      <c r="AN27" s="2296"/>
      <c r="AO27" s="2279"/>
      <c r="AP27" s="2280"/>
      <c r="AQ27" s="2280"/>
      <c r="AR27" s="2280"/>
      <c r="AS27" s="2280"/>
      <c r="AT27" s="2280"/>
      <c r="AU27" s="2281"/>
      <c r="BA27" s="1122" t="s">
        <v>587</v>
      </c>
      <c r="BB27" s="1123">
        <v>237558</v>
      </c>
      <c r="BC27" s="1123">
        <v>273902</v>
      </c>
      <c r="BD27" s="1123">
        <v>330400</v>
      </c>
      <c r="BE27" s="1123">
        <v>422912</v>
      </c>
      <c r="BF27" s="1123">
        <v>471150</v>
      </c>
      <c r="BG27" s="1124">
        <v>207647</v>
      </c>
      <c r="BH27" s="1124">
        <v>239415</v>
      </c>
      <c r="BI27" s="1124">
        <v>288800</v>
      </c>
      <c r="BJ27" s="1124">
        <v>369664</v>
      </c>
      <c r="BK27" s="1124">
        <v>411829</v>
      </c>
      <c r="BL27" s="1116"/>
    </row>
    <row r="28" spans="1:64" ht="70.5" customHeight="1">
      <c r="A28" s="2307"/>
      <c r="B28" s="2291"/>
      <c r="C28" s="2292"/>
      <c r="D28" s="2292"/>
      <c r="E28" s="2292"/>
      <c r="F28" s="2292"/>
      <c r="G28" s="2292"/>
      <c r="H28" s="2292"/>
      <c r="I28" s="2292"/>
      <c r="J28" s="2292"/>
      <c r="K28" s="2292"/>
      <c r="L28" s="2292"/>
      <c r="M28" s="2292"/>
      <c r="N28" s="2292"/>
      <c r="O28" s="2292"/>
      <c r="P28" s="2292"/>
      <c r="Q28" s="2292"/>
      <c r="R28" s="2292"/>
      <c r="S28" s="2292"/>
      <c r="T28" s="2292"/>
      <c r="U28" s="2292"/>
      <c r="V28" s="2292"/>
      <c r="W28" s="2292"/>
      <c r="X28" s="2292"/>
      <c r="Y28" s="2292"/>
      <c r="Z28" s="2292"/>
      <c r="AA28" s="2292"/>
      <c r="AB28" s="2292"/>
      <c r="AC28" s="2292"/>
      <c r="AD28" s="2292"/>
      <c r="AE28" s="2292"/>
      <c r="AF28" s="2292"/>
      <c r="AG28" s="2292"/>
      <c r="AH28" s="2292"/>
      <c r="AI28" s="2292"/>
      <c r="AJ28" s="2292"/>
      <c r="AK28" s="2293"/>
      <c r="AL28" s="2285">
        <f>IF(AL27="Yes",0.02,0)</f>
        <v>0</v>
      </c>
      <c r="AM28" s="2286"/>
      <c r="AN28" s="2287"/>
      <c r="AO28" s="2279"/>
      <c r="AP28" s="2280"/>
      <c r="AQ28" s="2280"/>
      <c r="AR28" s="2280"/>
      <c r="AS28" s="2280"/>
      <c r="AT28" s="2280"/>
      <c r="AU28" s="2281"/>
      <c r="BA28" s="1118" t="s">
        <v>588</v>
      </c>
      <c r="BB28" s="1119">
        <v>285299</v>
      </c>
      <c r="BC28" s="1119">
        <v>328947</v>
      </c>
      <c r="BD28" s="1119">
        <v>396800</v>
      </c>
      <c r="BE28" s="1119">
        <v>507904</v>
      </c>
      <c r="BF28" s="1119">
        <v>565837</v>
      </c>
      <c r="BG28" s="1120">
        <v>255964</v>
      </c>
      <c r="BH28" s="1120">
        <v>295124</v>
      </c>
      <c r="BI28" s="1120">
        <v>356000</v>
      </c>
      <c r="BJ28" s="1120">
        <v>455680</v>
      </c>
      <c r="BK28" s="1120">
        <v>507656</v>
      </c>
      <c r="BL28" s="1116"/>
    </row>
    <row r="29" spans="1:64" ht="15" customHeight="1">
      <c r="A29" s="2307"/>
      <c r="B29" s="2297" t="s">
        <v>1608</v>
      </c>
      <c r="C29" s="2298"/>
      <c r="D29" s="2298"/>
      <c r="E29" s="2298"/>
      <c r="F29" s="2298"/>
      <c r="G29" s="2298"/>
      <c r="H29" s="2298"/>
      <c r="I29" s="2298"/>
      <c r="J29" s="2298"/>
      <c r="K29" s="2298"/>
      <c r="L29" s="2298"/>
      <c r="M29" s="2298"/>
      <c r="N29" s="2298"/>
      <c r="O29" s="2298"/>
      <c r="P29" s="2298"/>
      <c r="Q29" s="2298"/>
      <c r="R29" s="2298"/>
      <c r="S29" s="2298"/>
      <c r="T29" s="2298"/>
      <c r="U29" s="2298"/>
      <c r="V29" s="2298"/>
      <c r="W29" s="2298"/>
      <c r="X29" s="2298"/>
      <c r="Y29" s="2298"/>
      <c r="Z29" s="2298"/>
      <c r="AA29" s="2298"/>
      <c r="AB29" s="2298"/>
      <c r="AC29" s="2298"/>
      <c r="AD29" s="2298"/>
      <c r="AE29" s="2298"/>
      <c r="AF29" s="2298"/>
      <c r="AG29" s="2298"/>
      <c r="AH29" s="2298"/>
      <c r="AI29" s="2298"/>
      <c r="AJ29" s="2298"/>
      <c r="AK29" s="2299"/>
      <c r="AL29" s="2294"/>
      <c r="AM29" s="2295"/>
      <c r="AN29" s="2296"/>
      <c r="AO29" s="2279"/>
      <c r="AP29" s="2280"/>
      <c r="AQ29" s="2280"/>
      <c r="AR29" s="2280"/>
      <c r="AS29" s="2280"/>
      <c r="AT29" s="2280"/>
      <c r="AU29" s="2281"/>
      <c r="BA29" s="1122" t="s">
        <v>589</v>
      </c>
      <c r="BB29" s="1123">
        <v>293352</v>
      </c>
      <c r="BC29" s="1123">
        <v>338232</v>
      </c>
      <c r="BD29" s="1123">
        <v>408000</v>
      </c>
      <c r="BE29" s="1123">
        <v>522240</v>
      </c>
      <c r="BF29" s="1123">
        <v>581808</v>
      </c>
      <c r="BG29" s="1124">
        <v>253663</v>
      </c>
      <c r="BH29" s="1124">
        <v>292471</v>
      </c>
      <c r="BI29" s="1124">
        <v>352800</v>
      </c>
      <c r="BJ29" s="1124">
        <v>451584</v>
      </c>
      <c r="BK29" s="1124">
        <v>503093</v>
      </c>
      <c r="BL29" s="1116"/>
    </row>
    <row r="30" spans="1:64" ht="46.5" customHeight="1">
      <c r="A30" s="2307"/>
      <c r="B30" s="2300"/>
      <c r="C30" s="2301"/>
      <c r="D30" s="2301"/>
      <c r="E30" s="2301"/>
      <c r="F30" s="2301"/>
      <c r="G30" s="2301"/>
      <c r="H30" s="2301"/>
      <c r="I30" s="2301"/>
      <c r="J30" s="2301"/>
      <c r="K30" s="2301"/>
      <c r="L30" s="2301"/>
      <c r="M30" s="2301"/>
      <c r="N30" s="2301"/>
      <c r="O30" s="2301"/>
      <c r="P30" s="2301"/>
      <c r="Q30" s="2301"/>
      <c r="R30" s="2301"/>
      <c r="S30" s="2301"/>
      <c r="T30" s="2301"/>
      <c r="U30" s="2301"/>
      <c r="V30" s="2301"/>
      <c r="W30" s="2301"/>
      <c r="X30" s="2301"/>
      <c r="Y30" s="2301"/>
      <c r="Z30" s="2301"/>
      <c r="AA30" s="2301"/>
      <c r="AB30" s="2301"/>
      <c r="AC30" s="2301"/>
      <c r="AD30" s="2301"/>
      <c r="AE30" s="2301"/>
      <c r="AF30" s="2301"/>
      <c r="AG30" s="2301"/>
      <c r="AH30" s="2301"/>
      <c r="AI30" s="2301"/>
      <c r="AJ30" s="2301"/>
      <c r="AK30" s="2302"/>
      <c r="AL30" s="2285">
        <f>IF(AL29="Yes",0.04,0)</f>
        <v>0</v>
      </c>
      <c r="AM30" s="2286"/>
      <c r="AN30" s="2287"/>
      <c r="AO30" s="2279"/>
      <c r="AP30" s="2280"/>
      <c r="AQ30" s="2280"/>
      <c r="AR30" s="2280"/>
      <c r="AS30" s="2280"/>
      <c r="AT30" s="2280"/>
      <c r="AU30" s="2281"/>
      <c r="BA30" s="1118" t="s">
        <v>590</v>
      </c>
      <c r="BB30" s="1119">
        <v>237558</v>
      </c>
      <c r="BC30" s="1119">
        <v>273902</v>
      </c>
      <c r="BD30" s="1119">
        <v>330400</v>
      </c>
      <c r="BE30" s="1119">
        <v>422912</v>
      </c>
      <c r="BF30" s="1119">
        <v>471150</v>
      </c>
      <c r="BG30" s="1120">
        <v>207647</v>
      </c>
      <c r="BH30" s="1120">
        <v>239415</v>
      </c>
      <c r="BI30" s="1120">
        <v>288800</v>
      </c>
      <c r="BJ30" s="1120">
        <v>369664</v>
      </c>
      <c r="BK30" s="1120">
        <v>411829</v>
      </c>
      <c r="BL30" s="1116"/>
    </row>
    <row r="31" spans="1:64" ht="15" customHeight="1">
      <c r="A31" s="2307"/>
      <c r="B31" s="2288" t="s">
        <v>1609</v>
      </c>
      <c r="C31" s="2289"/>
      <c r="D31" s="2289"/>
      <c r="E31" s="2289"/>
      <c r="F31" s="2289"/>
      <c r="G31" s="2289"/>
      <c r="H31" s="2289"/>
      <c r="I31" s="2289"/>
      <c r="J31" s="2289"/>
      <c r="K31" s="2289"/>
      <c r="L31" s="2289"/>
      <c r="M31" s="2289"/>
      <c r="N31" s="2289"/>
      <c r="O31" s="2289"/>
      <c r="P31" s="2289"/>
      <c r="Q31" s="2289"/>
      <c r="R31" s="2289"/>
      <c r="S31" s="2289"/>
      <c r="T31" s="2289"/>
      <c r="U31" s="2289"/>
      <c r="V31" s="2289"/>
      <c r="W31" s="2289"/>
      <c r="X31" s="2289"/>
      <c r="Y31" s="2289"/>
      <c r="Z31" s="2289"/>
      <c r="AA31" s="2289"/>
      <c r="AB31" s="2289"/>
      <c r="AC31" s="2289"/>
      <c r="AD31" s="2289"/>
      <c r="AE31" s="2289"/>
      <c r="AF31" s="2289"/>
      <c r="AG31" s="2289"/>
      <c r="AH31" s="2289"/>
      <c r="AI31" s="2289"/>
      <c r="AJ31" s="2289"/>
      <c r="AK31" s="2290"/>
      <c r="AL31" s="2294"/>
      <c r="AM31" s="2295"/>
      <c r="AN31" s="2296"/>
      <c r="AO31" s="2279"/>
      <c r="AP31" s="2280"/>
      <c r="AQ31" s="2280"/>
      <c r="AR31" s="2280"/>
      <c r="AS31" s="2280"/>
      <c r="AT31" s="2280"/>
      <c r="AU31" s="2281"/>
      <c r="BA31" s="1122" t="s">
        <v>591</v>
      </c>
      <c r="BB31" s="1123">
        <v>237558</v>
      </c>
      <c r="BC31" s="1123">
        <v>273902</v>
      </c>
      <c r="BD31" s="1123">
        <v>330400</v>
      </c>
      <c r="BE31" s="1123">
        <v>422912</v>
      </c>
      <c r="BF31" s="1123">
        <v>471150</v>
      </c>
      <c r="BG31" s="1124">
        <v>207647</v>
      </c>
      <c r="BH31" s="1124">
        <v>239415</v>
      </c>
      <c r="BI31" s="1124">
        <v>288800</v>
      </c>
      <c r="BJ31" s="1124">
        <v>369664</v>
      </c>
      <c r="BK31" s="1124">
        <v>411829</v>
      </c>
      <c r="BL31" s="1116"/>
    </row>
    <row r="32" spans="1:64" ht="11.25" customHeight="1">
      <c r="A32" s="2307"/>
      <c r="B32" s="2291"/>
      <c r="C32" s="2292"/>
      <c r="D32" s="2292"/>
      <c r="E32" s="2292"/>
      <c r="F32" s="2292"/>
      <c r="G32" s="2292"/>
      <c r="H32" s="2292"/>
      <c r="I32" s="2292"/>
      <c r="J32" s="2292"/>
      <c r="K32" s="2292"/>
      <c r="L32" s="2292"/>
      <c r="M32" s="2292"/>
      <c r="N32" s="2292"/>
      <c r="O32" s="2292"/>
      <c r="P32" s="2292"/>
      <c r="Q32" s="2292"/>
      <c r="R32" s="2292"/>
      <c r="S32" s="2292"/>
      <c r="T32" s="2292"/>
      <c r="U32" s="2292"/>
      <c r="V32" s="2292"/>
      <c r="W32" s="2292"/>
      <c r="X32" s="2292"/>
      <c r="Y32" s="2292"/>
      <c r="Z32" s="2292"/>
      <c r="AA32" s="2292"/>
      <c r="AB32" s="2292"/>
      <c r="AC32" s="2292"/>
      <c r="AD32" s="2292"/>
      <c r="AE32" s="2292"/>
      <c r="AF32" s="2292"/>
      <c r="AG32" s="2292"/>
      <c r="AH32" s="2292"/>
      <c r="AI32" s="2292"/>
      <c r="AJ32" s="2292"/>
      <c r="AK32" s="2293"/>
      <c r="AL32" s="2285">
        <f>IF(AL31="Yes",0.04,0)</f>
        <v>0</v>
      </c>
      <c r="AM32" s="2286"/>
      <c r="AN32" s="2287"/>
      <c r="AO32" s="2279"/>
      <c r="AP32" s="2280"/>
      <c r="AQ32" s="2280"/>
      <c r="AR32" s="2280"/>
      <c r="AS32" s="2280"/>
      <c r="AT32" s="2280"/>
      <c r="AU32" s="2281"/>
      <c r="BA32" s="1118" t="s">
        <v>592</v>
      </c>
      <c r="BB32" s="1119">
        <v>237558</v>
      </c>
      <c r="BC32" s="1119">
        <v>273902</v>
      </c>
      <c r="BD32" s="1119">
        <v>330400</v>
      </c>
      <c r="BE32" s="1119">
        <v>422912</v>
      </c>
      <c r="BF32" s="1119">
        <v>471150</v>
      </c>
      <c r="BG32" s="1120">
        <v>207647</v>
      </c>
      <c r="BH32" s="1120">
        <v>239415</v>
      </c>
      <c r="BI32" s="1120">
        <v>288800</v>
      </c>
      <c r="BJ32" s="1120">
        <v>369664</v>
      </c>
      <c r="BK32" s="1120">
        <v>411829</v>
      </c>
      <c r="BL32" s="1116"/>
    </row>
    <row r="33" spans="1:64" ht="15" customHeight="1">
      <c r="A33" s="2307"/>
      <c r="B33" s="2288" t="s">
        <v>1610</v>
      </c>
      <c r="C33" s="2289"/>
      <c r="D33" s="2289"/>
      <c r="E33" s="2289"/>
      <c r="F33" s="2289"/>
      <c r="G33" s="2289"/>
      <c r="H33" s="2289"/>
      <c r="I33" s="2289"/>
      <c r="J33" s="2289"/>
      <c r="K33" s="2289"/>
      <c r="L33" s="2289"/>
      <c r="M33" s="2289"/>
      <c r="N33" s="2289"/>
      <c r="O33" s="2289"/>
      <c r="P33" s="2289"/>
      <c r="Q33" s="2289"/>
      <c r="R33" s="2289"/>
      <c r="S33" s="2289"/>
      <c r="T33" s="2289"/>
      <c r="U33" s="2289"/>
      <c r="V33" s="2289"/>
      <c r="W33" s="2289"/>
      <c r="X33" s="2289"/>
      <c r="Y33" s="2289"/>
      <c r="Z33" s="2289"/>
      <c r="AA33" s="2289"/>
      <c r="AB33" s="2289"/>
      <c r="AC33" s="2289"/>
      <c r="AD33" s="2289"/>
      <c r="AE33" s="2289"/>
      <c r="AF33" s="2289"/>
      <c r="AG33" s="2289"/>
      <c r="AH33" s="2289"/>
      <c r="AI33" s="2289"/>
      <c r="AJ33" s="2289"/>
      <c r="AK33" s="2290"/>
      <c r="AL33" s="2294"/>
      <c r="AM33" s="2295"/>
      <c r="AN33" s="2296"/>
      <c r="AO33" s="2279"/>
      <c r="AP33" s="2280"/>
      <c r="AQ33" s="2280"/>
      <c r="AR33" s="2280"/>
      <c r="AS33" s="2280"/>
      <c r="AT33" s="2280"/>
      <c r="AU33" s="2281"/>
      <c r="BA33" s="1122" t="s">
        <v>593</v>
      </c>
      <c r="BB33" s="1123">
        <v>237558</v>
      </c>
      <c r="BC33" s="1123">
        <v>273902</v>
      </c>
      <c r="BD33" s="1123">
        <v>330400</v>
      </c>
      <c r="BE33" s="1123">
        <v>422912</v>
      </c>
      <c r="BF33" s="1123">
        <v>471150</v>
      </c>
      <c r="BG33" s="1124">
        <v>207647</v>
      </c>
      <c r="BH33" s="1124">
        <v>239415</v>
      </c>
      <c r="BI33" s="1124">
        <v>288800</v>
      </c>
      <c r="BJ33" s="1124">
        <v>369664</v>
      </c>
      <c r="BK33" s="1124">
        <v>411829</v>
      </c>
      <c r="BL33" s="1116"/>
    </row>
    <row r="34" spans="1:64" ht="23.25" customHeight="1">
      <c r="A34" s="2307"/>
      <c r="B34" s="2291"/>
      <c r="C34" s="2292"/>
      <c r="D34" s="2292"/>
      <c r="E34" s="2292"/>
      <c r="F34" s="2292"/>
      <c r="G34" s="2292"/>
      <c r="H34" s="2292"/>
      <c r="I34" s="2292"/>
      <c r="J34" s="2292"/>
      <c r="K34" s="2292"/>
      <c r="L34" s="2292"/>
      <c r="M34" s="2292"/>
      <c r="N34" s="2292"/>
      <c r="O34" s="2292"/>
      <c r="P34" s="2292"/>
      <c r="Q34" s="2292"/>
      <c r="R34" s="2292"/>
      <c r="S34" s="2292"/>
      <c r="T34" s="2292"/>
      <c r="U34" s="2292"/>
      <c r="V34" s="2292"/>
      <c r="W34" s="2292"/>
      <c r="X34" s="2292"/>
      <c r="Y34" s="2292"/>
      <c r="Z34" s="2292"/>
      <c r="AA34" s="2292"/>
      <c r="AB34" s="2292"/>
      <c r="AC34" s="2292"/>
      <c r="AD34" s="2292"/>
      <c r="AE34" s="2292"/>
      <c r="AF34" s="2292"/>
      <c r="AG34" s="2292"/>
      <c r="AH34" s="2292"/>
      <c r="AI34" s="2292"/>
      <c r="AJ34" s="2292"/>
      <c r="AK34" s="2293"/>
      <c r="AL34" s="2285">
        <f>IF(AL33="Yes",0.02,0)</f>
        <v>0</v>
      </c>
      <c r="AM34" s="2286"/>
      <c r="AN34" s="2287"/>
      <c r="AO34" s="2279"/>
      <c r="AP34" s="2280"/>
      <c r="AQ34" s="2280"/>
      <c r="AR34" s="2280"/>
      <c r="AS34" s="2280"/>
      <c r="AT34" s="2280"/>
      <c r="AU34" s="2281"/>
      <c r="BA34" s="1118" t="s">
        <v>594</v>
      </c>
      <c r="BB34" s="1119">
        <v>237558</v>
      </c>
      <c r="BC34" s="1119">
        <v>273902</v>
      </c>
      <c r="BD34" s="1119">
        <v>330400</v>
      </c>
      <c r="BE34" s="1119">
        <v>422912</v>
      </c>
      <c r="BF34" s="1119">
        <v>471150</v>
      </c>
      <c r="BG34" s="1120">
        <v>207647</v>
      </c>
      <c r="BH34" s="1120">
        <v>239415</v>
      </c>
      <c r="BI34" s="1120">
        <v>288800</v>
      </c>
      <c r="BJ34" s="1120">
        <v>369664</v>
      </c>
      <c r="BK34" s="1120">
        <v>411829</v>
      </c>
      <c r="BL34" s="1116"/>
    </row>
    <row r="35" spans="1:64" ht="15" customHeight="1">
      <c r="A35" s="2307"/>
      <c r="B35" s="2288" t="s">
        <v>1611</v>
      </c>
      <c r="C35" s="2289"/>
      <c r="D35" s="2289"/>
      <c r="E35" s="2289"/>
      <c r="F35" s="2289"/>
      <c r="G35" s="2289"/>
      <c r="H35" s="2289"/>
      <c r="I35" s="2289"/>
      <c r="J35" s="2289"/>
      <c r="K35" s="2289"/>
      <c r="L35" s="2289"/>
      <c r="M35" s="2289"/>
      <c r="N35" s="2289"/>
      <c r="O35" s="2289"/>
      <c r="P35" s="2289"/>
      <c r="Q35" s="2289"/>
      <c r="R35" s="2289"/>
      <c r="S35" s="2289"/>
      <c r="T35" s="2289"/>
      <c r="U35" s="2289"/>
      <c r="V35" s="2289"/>
      <c r="W35" s="2289"/>
      <c r="X35" s="2289"/>
      <c r="Y35" s="2289"/>
      <c r="Z35" s="2289"/>
      <c r="AA35" s="2289"/>
      <c r="AB35" s="2289"/>
      <c r="AC35" s="2289"/>
      <c r="AD35" s="2289"/>
      <c r="AE35" s="2289"/>
      <c r="AF35" s="2289"/>
      <c r="AG35" s="2289"/>
      <c r="AH35" s="2289"/>
      <c r="AI35" s="2289"/>
      <c r="AJ35" s="2289"/>
      <c r="AK35" s="2290"/>
      <c r="AL35" s="2294"/>
      <c r="AM35" s="2295"/>
      <c r="AN35" s="2296"/>
      <c r="AO35" s="2279"/>
      <c r="AP35" s="2280"/>
      <c r="AQ35" s="2280"/>
      <c r="AR35" s="2280"/>
      <c r="AS35" s="2280"/>
      <c r="AT35" s="2280"/>
      <c r="AU35" s="2281"/>
      <c r="BA35" s="1122" t="s">
        <v>595</v>
      </c>
      <c r="BB35" s="1123">
        <v>237558</v>
      </c>
      <c r="BC35" s="1123">
        <v>273902</v>
      </c>
      <c r="BD35" s="1123">
        <v>330400</v>
      </c>
      <c r="BE35" s="1123">
        <v>422912</v>
      </c>
      <c r="BF35" s="1123">
        <v>471150</v>
      </c>
      <c r="BG35" s="1124">
        <v>207647</v>
      </c>
      <c r="BH35" s="1124">
        <v>239415</v>
      </c>
      <c r="BI35" s="1124">
        <v>288800</v>
      </c>
      <c r="BJ35" s="1124">
        <v>369664</v>
      </c>
      <c r="BK35" s="1124">
        <v>411829</v>
      </c>
      <c r="BL35" s="1116"/>
    </row>
    <row r="36" spans="1:64" ht="21" customHeight="1">
      <c r="A36" s="2307"/>
      <c r="B36" s="2291"/>
      <c r="C36" s="2292"/>
      <c r="D36" s="2292"/>
      <c r="E36" s="2292"/>
      <c r="F36" s="2292"/>
      <c r="G36" s="2292"/>
      <c r="H36" s="2292"/>
      <c r="I36" s="2292"/>
      <c r="J36" s="2292"/>
      <c r="K36" s="2292"/>
      <c r="L36" s="2292"/>
      <c r="M36" s="2292"/>
      <c r="N36" s="2292"/>
      <c r="O36" s="2292"/>
      <c r="P36" s="2292"/>
      <c r="Q36" s="2292"/>
      <c r="R36" s="2292"/>
      <c r="S36" s="2292"/>
      <c r="T36" s="2292"/>
      <c r="U36" s="2292"/>
      <c r="V36" s="2292"/>
      <c r="W36" s="2292"/>
      <c r="X36" s="2292"/>
      <c r="Y36" s="2292"/>
      <c r="Z36" s="2292"/>
      <c r="AA36" s="2292"/>
      <c r="AB36" s="2292"/>
      <c r="AC36" s="2292"/>
      <c r="AD36" s="2292"/>
      <c r="AE36" s="2292"/>
      <c r="AF36" s="2292"/>
      <c r="AG36" s="2292"/>
      <c r="AH36" s="2292"/>
      <c r="AI36" s="2292"/>
      <c r="AJ36" s="2292"/>
      <c r="AK36" s="2293"/>
      <c r="AL36" s="2285">
        <f>IF(AL35="Yes",0.01,0)</f>
        <v>0</v>
      </c>
      <c r="AM36" s="2286"/>
      <c r="AN36" s="2287"/>
      <c r="AO36" s="2279"/>
      <c r="AP36" s="2280"/>
      <c r="AQ36" s="2280"/>
      <c r="AR36" s="2280"/>
      <c r="AS36" s="2280"/>
      <c r="AT36" s="2280"/>
      <c r="AU36" s="2281"/>
      <c r="BA36" s="1118" t="s">
        <v>596</v>
      </c>
      <c r="BB36" s="1119">
        <v>237558</v>
      </c>
      <c r="BC36" s="1119">
        <v>273902</v>
      </c>
      <c r="BD36" s="1119">
        <v>330400</v>
      </c>
      <c r="BE36" s="1119">
        <v>422912</v>
      </c>
      <c r="BF36" s="1119">
        <v>471150</v>
      </c>
      <c r="BG36" s="1120">
        <v>207647</v>
      </c>
      <c r="BH36" s="1120">
        <v>239415</v>
      </c>
      <c r="BI36" s="1120">
        <v>288800</v>
      </c>
      <c r="BJ36" s="1120">
        <v>369664</v>
      </c>
      <c r="BK36" s="1120">
        <v>411829</v>
      </c>
      <c r="BL36" s="1116"/>
    </row>
    <row r="37" spans="1:64" ht="15" customHeight="1">
      <c r="A37" s="2307"/>
      <c r="B37" s="2288" t="s">
        <v>1612</v>
      </c>
      <c r="C37" s="2289"/>
      <c r="D37" s="2289"/>
      <c r="E37" s="2289"/>
      <c r="F37" s="2289"/>
      <c r="G37" s="2289"/>
      <c r="H37" s="2289"/>
      <c r="I37" s="2289"/>
      <c r="J37" s="2289"/>
      <c r="K37" s="2289"/>
      <c r="L37" s="2289"/>
      <c r="M37" s="2289"/>
      <c r="N37" s="2289"/>
      <c r="O37" s="2289"/>
      <c r="P37" s="2289"/>
      <c r="Q37" s="2289"/>
      <c r="R37" s="2289"/>
      <c r="S37" s="2289"/>
      <c r="T37" s="2289"/>
      <c r="U37" s="2289"/>
      <c r="V37" s="2289"/>
      <c r="W37" s="2289"/>
      <c r="X37" s="2289"/>
      <c r="Y37" s="2289"/>
      <c r="Z37" s="2289"/>
      <c r="AA37" s="2289"/>
      <c r="AB37" s="2289"/>
      <c r="AC37" s="2289"/>
      <c r="AD37" s="2289"/>
      <c r="AE37" s="2289"/>
      <c r="AF37" s="2289"/>
      <c r="AG37" s="2289"/>
      <c r="AH37" s="2289"/>
      <c r="AI37" s="2289"/>
      <c r="AJ37" s="2289"/>
      <c r="AK37" s="2290"/>
      <c r="AL37" s="2294"/>
      <c r="AM37" s="2295"/>
      <c r="AN37" s="2296"/>
      <c r="AO37" s="2279"/>
      <c r="AP37" s="2280"/>
      <c r="AQ37" s="2280"/>
      <c r="AR37" s="2280"/>
      <c r="AS37" s="2280"/>
      <c r="AT37" s="2280"/>
      <c r="AU37" s="2281"/>
      <c r="BA37" s="1122" t="s">
        <v>76</v>
      </c>
      <c r="BB37" s="1123">
        <v>237558</v>
      </c>
      <c r="BC37" s="1123">
        <v>273902</v>
      </c>
      <c r="BD37" s="1123">
        <v>330400</v>
      </c>
      <c r="BE37" s="1123">
        <v>422912</v>
      </c>
      <c r="BF37" s="1123">
        <v>471150</v>
      </c>
      <c r="BG37" s="1124">
        <v>207647</v>
      </c>
      <c r="BH37" s="1124">
        <v>239415</v>
      </c>
      <c r="BI37" s="1124">
        <v>288800</v>
      </c>
      <c r="BJ37" s="1124">
        <v>369664</v>
      </c>
      <c r="BK37" s="1124">
        <v>411829</v>
      </c>
      <c r="BL37" s="1116"/>
    </row>
    <row r="38" spans="1:64" ht="11.25" customHeight="1">
      <c r="A38" s="2307"/>
      <c r="B38" s="2291"/>
      <c r="C38" s="2292"/>
      <c r="D38" s="2292"/>
      <c r="E38" s="2292"/>
      <c r="F38" s="2292"/>
      <c r="G38" s="2292"/>
      <c r="H38" s="2292"/>
      <c r="I38" s="2292"/>
      <c r="J38" s="2292"/>
      <c r="K38" s="2292"/>
      <c r="L38" s="2292"/>
      <c r="M38" s="2292"/>
      <c r="N38" s="2292"/>
      <c r="O38" s="2292"/>
      <c r="P38" s="2292"/>
      <c r="Q38" s="2292"/>
      <c r="R38" s="2292"/>
      <c r="S38" s="2292"/>
      <c r="T38" s="2292"/>
      <c r="U38" s="2292"/>
      <c r="V38" s="2292"/>
      <c r="W38" s="2292"/>
      <c r="X38" s="2292"/>
      <c r="Y38" s="2292"/>
      <c r="Z38" s="2292"/>
      <c r="AA38" s="2292"/>
      <c r="AB38" s="2292"/>
      <c r="AC38" s="2292"/>
      <c r="AD38" s="2292"/>
      <c r="AE38" s="2292"/>
      <c r="AF38" s="2292"/>
      <c r="AG38" s="2292"/>
      <c r="AH38" s="2292"/>
      <c r="AI38" s="2292"/>
      <c r="AJ38" s="2292"/>
      <c r="AK38" s="2293"/>
      <c r="AL38" s="2285">
        <f>IF(AL37="Yes",0.01,0)</f>
        <v>0</v>
      </c>
      <c r="AM38" s="2286"/>
      <c r="AN38" s="2287"/>
      <c r="AO38" s="2279"/>
      <c r="AP38" s="2280"/>
      <c r="AQ38" s="2280"/>
      <c r="AR38" s="2280"/>
      <c r="AS38" s="2280"/>
      <c r="AT38" s="2280"/>
      <c r="AU38" s="2281"/>
      <c r="BA38" s="1118" t="s">
        <v>597</v>
      </c>
      <c r="BB38" s="1119">
        <v>237558</v>
      </c>
      <c r="BC38" s="1119">
        <v>273902</v>
      </c>
      <c r="BD38" s="1119">
        <v>330400</v>
      </c>
      <c r="BE38" s="1119">
        <v>422912</v>
      </c>
      <c r="BF38" s="1119">
        <v>471150</v>
      </c>
      <c r="BG38" s="1120">
        <v>207647</v>
      </c>
      <c r="BH38" s="1120">
        <v>239415</v>
      </c>
      <c r="BI38" s="1120">
        <v>288800</v>
      </c>
      <c r="BJ38" s="1120">
        <v>369664</v>
      </c>
      <c r="BK38" s="1120">
        <v>411829</v>
      </c>
      <c r="BL38" s="1116"/>
    </row>
    <row r="39" spans="1:64" ht="15.75" customHeight="1">
      <c r="A39" s="2307"/>
      <c r="B39" s="2288" t="s">
        <v>1613</v>
      </c>
      <c r="C39" s="2289"/>
      <c r="D39" s="2289"/>
      <c r="E39" s="2289"/>
      <c r="F39" s="2289"/>
      <c r="G39" s="2289"/>
      <c r="H39" s="2289"/>
      <c r="I39" s="2289"/>
      <c r="J39" s="2289"/>
      <c r="K39" s="2289"/>
      <c r="L39" s="2289"/>
      <c r="M39" s="2289"/>
      <c r="N39" s="2289"/>
      <c r="O39" s="2289"/>
      <c r="P39" s="2289"/>
      <c r="Q39" s="2289"/>
      <c r="R39" s="2289"/>
      <c r="S39" s="2289"/>
      <c r="T39" s="2289"/>
      <c r="U39" s="2289"/>
      <c r="V39" s="2289"/>
      <c r="W39" s="2289"/>
      <c r="X39" s="2289"/>
      <c r="Y39" s="2289"/>
      <c r="Z39" s="2289"/>
      <c r="AA39" s="2289"/>
      <c r="AB39" s="2289"/>
      <c r="AC39" s="2289"/>
      <c r="AD39" s="2289"/>
      <c r="AE39" s="2289"/>
      <c r="AF39" s="2289"/>
      <c r="AG39" s="2289"/>
      <c r="AH39" s="2289"/>
      <c r="AI39" s="2289"/>
      <c r="AJ39" s="2289"/>
      <c r="AK39" s="2290"/>
      <c r="AL39" s="2294"/>
      <c r="AM39" s="2295"/>
      <c r="AN39" s="2296"/>
      <c r="AO39" s="2279"/>
      <c r="AP39" s="2280"/>
      <c r="AQ39" s="2280"/>
      <c r="AR39" s="2280"/>
      <c r="AS39" s="2280"/>
      <c r="AT39" s="2280"/>
      <c r="AU39" s="2281"/>
      <c r="BA39" s="1122" t="s">
        <v>1393</v>
      </c>
      <c r="BB39" s="1123">
        <v>412418</v>
      </c>
      <c r="BC39" s="1123">
        <v>475514</v>
      </c>
      <c r="BD39" s="1123">
        <v>573600</v>
      </c>
      <c r="BE39" s="1123">
        <v>734208</v>
      </c>
      <c r="BF39" s="1123">
        <v>817954</v>
      </c>
      <c r="BG39" s="1124">
        <v>363526</v>
      </c>
      <c r="BH39" s="1124">
        <v>419142</v>
      </c>
      <c r="BI39" s="1124">
        <v>505600</v>
      </c>
      <c r="BJ39" s="1124">
        <v>647168</v>
      </c>
      <c r="BK39" s="1124">
        <v>720986</v>
      </c>
      <c r="BL39" s="1116"/>
    </row>
    <row r="40" spans="1:64" ht="9" customHeight="1">
      <c r="A40" s="2307"/>
      <c r="B40" s="2291"/>
      <c r="C40" s="2292"/>
      <c r="D40" s="2292"/>
      <c r="E40" s="2292"/>
      <c r="F40" s="2292"/>
      <c r="G40" s="2292"/>
      <c r="H40" s="2292"/>
      <c r="I40" s="2292"/>
      <c r="J40" s="2292"/>
      <c r="K40" s="2292"/>
      <c r="L40" s="2292"/>
      <c r="M40" s="2292"/>
      <c r="N40" s="2292"/>
      <c r="O40" s="2292"/>
      <c r="P40" s="2292"/>
      <c r="Q40" s="2292"/>
      <c r="R40" s="2292"/>
      <c r="S40" s="2292"/>
      <c r="T40" s="2292"/>
      <c r="U40" s="2292"/>
      <c r="V40" s="2292"/>
      <c r="W40" s="2292"/>
      <c r="X40" s="2292"/>
      <c r="Y40" s="2292"/>
      <c r="Z40" s="2292"/>
      <c r="AA40" s="2292"/>
      <c r="AB40" s="2292"/>
      <c r="AC40" s="2292"/>
      <c r="AD40" s="2292"/>
      <c r="AE40" s="2292"/>
      <c r="AF40" s="2292"/>
      <c r="AG40" s="2292"/>
      <c r="AH40" s="2292"/>
      <c r="AI40" s="2292"/>
      <c r="AJ40" s="2292"/>
      <c r="AK40" s="2293"/>
      <c r="AL40" s="2285">
        <f>IF(AL39="Yes",0.02,0)</f>
        <v>0</v>
      </c>
      <c r="AM40" s="2286"/>
      <c r="AN40" s="2287"/>
      <c r="AO40" s="2279"/>
      <c r="AP40" s="2280"/>
      <c r="AQ40" s="2280"/>
      <c r="AR40" s="2280"/>
      <c r="AS40" s="2280"/>
      <c r="AT40" s="2280"/>
      <c r="AU40" s="2281"/>
      <c r="BA40" s="1118" t="s">
        <v>598</v>
      </c>
      <c r="BB40" s="1119">
        <v>237558</v>
      </c>
      <c r="BC40" s="1119">
        <v>273902</v>
      </c>
      <c r="BD40" s="1119">
        <v>330400</v>
      </c>
      <c r="BE40" s="1119">
        <v>422912</v>
      </c>
      <c r="BF40" s="1119">
        <v>471150</v>
      </c>
      <c r="BG40" s="1120">
        <v>207647</v>
      </c>
      <c r="BH40" s="1120">
        <v>239415</v>
      </c>
      <c r="BI40" s="1120">
        <v>288800</v>
      </c>
      <c r="BJ40" s="1120">
        <v>369664</v>
      </c>
      <c r="BK40" s="1120">
        <v>411829</v>
      </c>
      <c r="BL40" s="1116"/>
    </row>
    <row r="41" spans="1:64" s="1131" customFormat="1" ht="15" customHeight="1">
      <c r="A41" s="2307"/>
      <c r="B41" s="2309" t="s">
        <v>1614</v>
      </c>
      <c r="C41" s="2310"/>
      <c r="D41" s="2310"/>
      <c r="E41" s="2310"/>
      <c r="F41" s="2310"/>
      <c r="G41" s="2310"/>
      <c r="H41" s="2310"/>
      <c r="I41" s="2310"/>
      <c r="J41" s="2310"/>
      <c r="K41" s="2310"/>
      <c r="L41" s="2310"/>
      <c r="M41" s="2310"/>
      <c r="N41" s="2310"/>
      <c r="O41" s="2310"/>
      <c r="P41" s="2310"/>
      <c r="Q41" s="2310"/>
      <c r="R41" s="2310"/>
      <c r="S41" s="2310"/>
      <c r="T41" s="2310"/>
      <c r="U41" s="2310"/>
      <c r="V41" s="2310"/>
      <c r="W41" s="2310"/>
      <c r="X41" s="2310"/>
      <c r="Y41" s="2310"/>
      <c r="Z41" s="2310"/>
      <c r="AA41" s="2310"/>
      <c r="AB41" s="2310"/>
      <c r="AC41" s="2310"/>
      <c r="AD41" s="2310"/>
      <c r="AE41" s="2310"/>
      <c r="AF41" s="2310"/>
      <c r="AG41" s="2310"/>
      <c r="AH41" s="2310"/>
      <c r="AI41" s="2310"/>
      <c r="AJ41" s="2310"/>
      <c r="AK41" s="2311"/>
      <c r="AL41" s="2294"/>
      <c r="AM41" s="2295"/>
      <c r="AN41" s="2296"/>
      <c r="AO41" s="2279"/>
      <c r="AP41" s="2280"/>
      <c r="AQ41" s="2280"/>
      <c r="AR41" s="2280"/>
      <c r="AS41" s="2280"/>
      <c r="AT41" s="2280"/>
      <c r="AU41" s="2281"/>
      <c r="BA41" s="1122" t="s">
        <v>931</v>
      </c>
      <c r="BB41" s="1123">
        <v>253663</v>
      </c>
      <c r="BC41" s="1123">
        <v>292471</v>
      </c>
      <c r="BD41" s="1123">
        <v>352800</v>
      </c>
      <c r="BE41" s="1123">
        <v>451584</v>
      </c>
      <c r="BF41" s="1123">
        <v>503093</v>
      </c>
      <c r="BG41" s="1124">
        <v>223753</v>
      </c>
      <c r="BH41" s="1124">
        <v>257985</v>
      </c>
      <c r="BI41" s="1124">
        <v>311200</v>
      </c>
      <c r="BJ41" s="1124">
        <v>398336</v>
      </c>
      <c r="BK41" s="1124">
        <v>443771</v>
      </c>
      <c r="BL41" s="1116"/>
    </row>
    <row r="42" spans="1:64" ht="9" customHeight="1" thickBot="1">
      <c r="A42" s="2308"/>
      <c r="B42" s="2312"/>
      <c r="C42" s="2313"/>
      <c r="D42" s="2313"/>
      <c r="E42" s="2313"/>
      <c r="F42" s="2313"/>
      <c r="G42" s="2313"/>
      <c r="H42" s="2313"/>
      <c r="I42" s="2313"/>
      <c r="J42" s="2313"/>
      <c r="K42" s="2313"/>
      <c r="L42" s="2313"/>
      <c r="M42" s="2313"/>
      <c r="N42" s="2313"/>
      <c r="O42" s="2313"/>
      <c r="P42" s="2313"/>
      <c r="Q42" s="2313"/>
      <c r="R42" s="2313"/>
      <c r="S42" s="2313"/>
      <c r="T42" s="2313"/>
      <c r="U42" s="2313"/>
      <c r="V42" s="2313"/>
      <c r="W42" s="2313"/>
      <c r="X42" s="2313"/>
      <c r="Y42" s="2313"/>
      <c r="Z42" s="2313"/>
      <c r="AA42" s="2313"/>
      <c r="AB42" s="2313"/>
      <c r="AC42" s="2313"/>
      <c r="AD42" s="2313"/>
      <c r="AE42" s="2313"/>
      <c r="AF42" s="2313"/>
      <c r="AG42" s="2313"/>
      <c r="AH42" s="2313"/>
      <c r="AI42" s="2313"/>
      <c r="AJ42" s="2313"/>
      <c r="AK42" s="2314"/>
      <c r="AL42" s="2315">
        <f>IF(AL41="Yes",0.02,0)</f>
        <v>0</v>
      </c>
      <c r="AM42" s="2315"/>
      <c r="AN42" s="2315"/>
      <c r="AO42" s="2282"/>
      <c r="AP42" s="2283"/>
      <c r="AQ42" s="2283"/>
      <c r="AR42" s="2283"/>
      <c r="AS42" s="2283"/>
      <c r="AT42" s="2283"/>
      <c r="AU42" s="2284"/>
      <c r="BA42" s="1118" t="s">
        <v>932</v>
      </c>
      <c r="BB42" s="1132">
        <v>330740</v>
      </c>
      <c r="BC42" s="1132">
        <v>381340</v>
      </c>
      <c r="BD42" s="1119">
        <v>460000</v>
      </c>
      <c r="BE42" s="1132">
        <v>588800</v>
      </c>
      <c r="BF42" s="1132">
        <v>655960</v>
      </c>
      <c r="BG42" s="1133">
        <v>284724</v>
      </c>
      <c r="BH42" s="1133">
        <v>328284</v>
      </c>
      <c r="BI42" s="1133">
        <v>396000</v>
      </c>
      <c r="BJ42" s="1133">
        <v>506880</v>
      </c>
      <c r="BK42" s="1133">
        <v>564696</v>
      </c>
      <c r="BL42" s="1116"/>
    </row>
    <row r="43" spans="1:64" ht="15" customHeight="1">
      <c r="A43" s="1127" t="s">
        <v>1615</v>
      </c>
      <c r="B43" s="2263" t="s">
        <v>1616</v>
      </c>
      <c r="C43" s="2263"/>
      <c r="D43" s="2263"/>
      <c r="E43" s="2263"/>
      <c r="F43" s="2263"/>
      <c r="G43" s="2263"/>
      <c r="H43" s="2263"/>
      <c r="I43" s="2263"/>
      <c r="J43" s="2263"/>
      <c r="K43" s="2263"/>
      <c r="L43" s="2263"/>
      <c r="M43" s="2263"/>
      <c r="N43" s="2263"/>
      <c r="O43" s="2263"/>
      <c r="P43" s="2263"/>
      <c r="Q43" s="2263"/>
      <c r="R43" s="2263"/>
      <c r="S43" s="2263"/>
      <c r="T43" s="2263"/>
      <c r="U43" s="2263"/>
      <c r="V43" s="2263"/>
      <c r="W43" s="2263"/>
      <c r="X43" s="2263"/>
      <c r="Y43" s="2263"/>
      <c r="Z43" s="2263"/>
      <c r="AA43" s="2263"/>
      <c r="AB43" s="2263"/>
      <c r="AC43" s="2263"/>
      <c r="AD43" s="2263"/>
      <c r="AE43" s="2263"/>
      <c r="AF43" s="2263"/>
      <c r="AG43" s="2263"/>
      <c r="AH43" s="2263"/>
      <c r="AI43" s="2263"/>
      <c r="AJ43" s="2263"/>
      <c r="AK43" s="2264"/>
      <c r="AL43" s="2648"/>
      <c r="AM43" s="2648"/>
      <c r="AN43" s="2651"/>
      <c r="AO43" s="2316">
        <f>IF(AL43="Yes",MIN(AG45,AO11*0.15),0)</f>
        <v>0</v>
      </c>
      <c r="AP43" s="2317"/>
      <c r="AQ43" s="2317"/>
      <c r="AR43" s="2317"/>
      <c r="AS43" s="2317"/>
      <c r="AT43" s="2317"/>
      <c r="AU43" s="2318"/>
      <c r="BA43" s="1122" t="s">
        <v>933</v>
      </c>
      <c r="BB43" s="1123">
        <v>253663</v>
      </c>
      <c r="BC43" s="1123">
        <v>292471</v>
      </c>
      <c r="BD43" s="1123">
        <v>352800</v>
      </c>
      <c r="BE43" s="1123">
        <v>451584</v>
      </c>
      <c r="BF43" s="1123">
        <v>503093</v>
      </c>
      <c r="BG43" s="1124">
        <v>223753</v>
      </c>
      <c r="BH43" s="1124">
        <v>257985</v>
      </c>
      <c r="BI43" s="1124">
        <v>311200</v>
      </c>
      <c r="BJ43" s="1124">
        <v>398336</v>
      </c>
      <c r="BK43" s="1124">
        <v>443771</v>
      </c>
      <c r="BL43" s="1116"/>
    </row>
    <row r="44" spans="1:64" ht="12" customHeight="1">
      <c r="A44" s="2319"/>
      <c r="B44" s="2267"/>
      <c r="C44" s="2267"/>
      <c r="D44" s="2267"/>
      <c r="E44" s="2267"/>
      <c r="F44" s="2267"/>
      <c r="G44" s="2267"/>
      <c r="H44" s="2267"/>
      <c r="I44" s="2267"/>
      <c r="J44" s="2267"/>
      <c r="K44" s="2267"/>
      <c r="L44" s="2267"/>
      <c r="M44" s="2267"/>
      <c r="N44" s="2267"/>
      <c r="O44" s="2267"/>
      <c r="P44" s="2267"/>
      <c r="Q44" s="2267"/>
      <c r="R44" s="2267"/>
      <c r="S44" s="2267"/>
      <c r="T44" s="2267"/>
      <c r="U44" s="2267"/>
      <c r="V44" s="2267"/>
      <c r="W44" s="2267"/>
      <c r="X44" s="2267"/>
      <c r="Y44" s="2267"/>
      <c r="Z44" s="2267"/>
      <c r="AA44" s="2267"/>
      <c r="AB44" s="2267"/>
      <c r="AC44" s="2267"/>
      <c r="AD44" s="2267"/>
      <c r="AE44" s="2267"/>
      <c r="AF44" s="2267"/>
      <c r="AG44" s="2267"/>
      <c r="AH44" s="2267"/>
      <c r="AI44" s="2267"/>
      <c r="AJ44" s="2267"/>
      <c r="AK44" s="2268"/>
      <c r="AL44" s="2321">
        <f>IF(AL43="yes","Please Select Type of Work and Enter Cost:",0)</f>
        <v>0</v>
      </c>
      <c r="AM44" s="2321"/>
      <c r="AN44" s="2321"/>
      <c r="AO44" s="2321"/>
      <c r="AP44" s="2321"/>
      <c r="AQ44" s="2321"/>
      <c r="AR44" s="2321"/>
      <c r="AS44" s="2321"/>
      <c r="AT44" s="2321"/>
      <c r="AU44" s="2322"/>
      <c r="BA44" s="1118" t="s">
        <v>934</v>
      </c>
      <c r="BB44" s="1132">
        <v>282423</v>
      </c>
      <c r="BC44" s="1132">
        <v>325631</v>
      </c>
      <c r="BD44" s="1132">
        <v>392800</v>
      </c>
      <c r="BE44" s="1132">
        <v>502784</v>
      </c>
      <c r="BF44" s="1132">
        <v>560133</v>
      </c>
      <c r="BG44" s="1133">
        <v>234106</v>
      </c>
      <c r="BH44" s="1133">
        <v>269922</v>
      </c>
      <c r="BI44" s="1133">
        <v>325600</v>
      </c>
      <c r="BJ44" s="1133">
        <v>416768</v>
      </c>
      <c r="BK44" s="1133">
        <v>464306</v>
      </c>
      <c r="BL44" s="1116"/>
    </row>
    <row r="45" spans="1:64" ht="15.75" customHeight="1" thickBot="1">
      <c r="A45" s="2320"/>
      <c r="B45" s="2326" t="s">
        <v>1617</v>
      </c>
      <c r="C45" s="2326"/>
      <c r="D45" s="2326"/>
      <c r="E45" s="2326"/>
      <c r="F45" s="2326"/>
      <c r="G45" s="2326"/>
      <c r="H45" s="2326"/>
      <c r="I45" s="2326"/>
      <c r="J45" s="2326"/>
      <c r="K45" s="2327"/>
      <c r="L45" s="2328"/>
      <c r="M45" s="2328"/>
      <c r="N45" s="2328"/>
      <c r="O45" s="2328"/>
      <c r="P45" s="2328"/>
      <c r="Q45" s="2328"/>
      <c r="R45" s="2328"/>
      <c r="S45" s="2328"/>
      <c r="T45" s="2329"/>
      <c r="U45" s="2330" t="s">
        <v>1618</v>
      </c>
      <c r="V45" s="2331"/>
      <c r="W45" s="2331"/>
      <c r="X45" s="2331"/>
      <c r="Y45" s="2331"/>
      <c r="Z45" s="2331"/>
      <c r="AA45" s="2331"/>
      <c r="AB45" s="2331"/>
      <c r="AC45" s="2331"/>
      <c r="AD45" s="2331"/>
      <c r="AE45" s="2331"/>
      <c r="AF45" s="2331"/>
      <c r="AG45" s="2332">
        <v>0</v>
      </c>
      <c r="AH45" s="2333"/>
      <c r="AI45" s="2333"/>
      <c r="AJ45" s="2333"/>
      <c r="AK45" s="2334"/>
      <c r="AL45" s="2323"/>
      <c r="AM45" s="2324"/>
      <c r="AN45" s="2324"/>
      <c r="AO45" s="2324"/>
      <c r="AP45" s="2324"/>
      <c r="AQ45" s="2324"/>
      <c r="AR45" s="2324"/>
      <c r="AS45" s="2324"/>
      <c r="AT45" s="2324"/>
      <c r="AU45" s="2325"/>
      <c r="BA45" s="1122" t="s">
        <v>935</v>
      </c>
      <c r="BB45" s="1123">
        <v>253663</v>
      </c>
      <c r="BC45" s="1123">
        <v>292471</v>
      </c>
      <c r="BD45" s="1123">
        <v>352800</v>
      </c>
      <c r="BE45" s="1123">
        <v>451584</v>
      </c>
      <c r="BF45" s="1123">
        <v>503093</v>
      </c>
      <c r="BG45" s="1124">
        <v>223753</v>
      </c>
      <c r="BH45" s="1124">
        <v>257985</v>
      </c>
      <c r="BI45" s="1124">
        <v>311200</v>
      </c>
      <c r="BJ45" s="1124">
        <v>398336</v>
      </c>
      <c r="BK45" s="1124">
        <v>443771</v>
      </c>
      <c r="BL45" s="1116"/>
    </row>
    <row r="46" spans="1:64" ht="15" customHeight="1">
      <c r="A46" s="1127" t="s">
        <v>1619</v>
      </c>
      <c r="B46" s="2263" t="s">
        <v>1620</v>
      </c>
      <c r="C46" s="2263"/>
      <c r="D46" s="2263"/>
      <c r="E46" s="2263"/>
      <c r="F46" s="2263"/>
      <c r="G46" s="2263"/>
      <c r="H46" s="2263"/>
      <c r="I46" s="2263"/>
      <c r="J46" s="2263"/>
      <c r="K46" s="2263"/>
      <c r="L46" s="2263"/>
      <c r="M46" s="2263"/>
      <c r="N46" s="2263"/>
      <c r="O46" s="2263"/>
      <c r="P46" s="2263"/>
      <c r="Q46" s="2263"/>
      <c r="R46" s="2263"/>
      <c r="S46" s="2263"/>
      <c r="T46" s="2263"/>
      <c r="U46" s="2263"/>
      <c r="V46" s="2263"/>
      <c r="W46" s="2263"/>
      <c r="X46" s="2263"/>
      <c r="Y46" s="2263"/>
      <c r="Z46" s="2263"/>
      <c r="AA46" s="2263"/>
      <c r="AB46" s="2263"/>
      <c r="AC46" s="2263"/>
      <c r="AD46" s="2263"/>
      <c r="AE46" s="2263"/>
      <c r="AF46" s="2263"/>
      <c r="AG46" s="2263"/>
      <c r="AH46" s="2263"/>
      <c r="AI46" s="2263"/>
      <c r="AJ46" s="2263"/>
      <c r="AK46" s="2264"/>
      <c r="AL46" s="2657"/>
      <c r="AM46" s="2648"/>
      <c r="AN46" s="2651"/>
      <c r="AO46" s="2352"/>
      <c r="AP46" s="2353"/>
      <c r="AQ46" s="2353"/>
      <c r="AR46" s="2353"/>
      <c r="AS46" s="2353"/>
      <c r="AT46" s="2353"/>
      <c r="AU46" s="2354"/>
      <c r="BA46" s="1118" t="s">
        <v>936</v>
      </c>
      <c r="BB46" s="1119">
        <v>237558</v>
      </c>
      <c r="BC46" s="1119">
        <v>273902</v>
      </c>
      <c r="BD46" s="1119">
        <v>330400</v>
      </c>
      <c r="BE46" s="1119">
        <v>422912</v>
      </c>
      <c r="BF46" s="1119">
        <v>471150</v>
      </c>
      <c r="BG46" s="1120">
        <v>207647</v>
      </c>
      <c r="BH46" s="1120">
        <v>239415</v>
      </c>
      <c r="BI46" s="1120">
        <v>288800</v>
      </c>
      <c r="BJ46" s="1120">
        <v>369664</v>
      </c>
      <c r="BK46" s="1120">
        <v>411829</v>
      </c>
      <c r="BL46" s="1116"/>
    </row>
    <row r="47" spans="1:64" ht="11.25" customHeight="1" thickBot="1">
      <c r="A47" s="1130"/>
      <c r="B47" s="2254"/>
      <c r="C47" s="2254"/>
      <c r="D47" s="2254"/>
      <c r="E47" s="2254"/>
      <c r="F47" s="2254"/>
      <c r="G47" s="2254"/>
      <c r="H47" s="2254"/>
      <c r="I47" s="2254"/>
      <c r="J47" s="2254"/>
      <c r="K47" s="2254"/>
      <c r="L47" s="2254"/>
      <c r="M47" s="2254"/>
      <c r="N47" s="2254"/>
      <c r="O47" s="2254"/>
      <c r="P47" s="2254"/>
      <c r="Q47" s="2254"/>
      <c r="R47" s="2254"/>
      <c r="S47" s="2254"/>
      <c r="T47" s="2254"/>
      <c r="U47" s="2254"/>
      <c r="V47" s="2254"/>
      <c r="W47" s="2254"/>
      <c r="X47" s="2254"/>
      <c r="Y47" s="2254"/>
      <c r="Z47" s="2254"/>
      <c r="AA47" s="2254"/>
      <c r="AB47" s="2254"/>
      <c r="AC47" s="2254"/>
      <c r="AD47" s="2254"/>
      <c r="AE47" s="2254"/>
      <c r="AF47" s="2254"/>
      <c r="AG47" s="2254"/>
      <c r="AH47" s="2254"/>
      <c r="AI47" s="2254"/>
      <c r="AJ47" s="2254"/>
      <c r="AK47" s="2255"/>
      <c r="AL47" s="2323">
        <f>IF(AL46="yes","Please Enter Amount Above:",0)</f>
        <v>0</v>
      </c>
      <c r="AM47" s="2324"/>
      <c r="AN47" s="2324"/>
      <c r="AO47" s="2324"/>
      <c r="AP47" s="2324"/>
      <c r="AQ47" s="2324"/>
      <c r="AR47" s="2324"/>
      <c r="AS47" s="2324"/>
      <c r="AT47" s="2324"/>
      <c r="AU47" s="2325"/>
      <c r="BA47" s="1122" t="s">
        <v>937</v>
      </c>
      <c r="BB47" s="1123">
        <v>237558</v>
      </c>
      <c r="BC47" s="1123">
        <v>273902</v>
      </c>
      <c r="BD47" s="1123">
        <v>330400</v>
      </c>
      <c r="BE47" s="1123">
        <v>422912</v>
      </c>
      <c r="BF47" s="1123">
        <v>471150</v>
      </c>
      <c r="BG47" s="1124">
        <v>207647</v>
      </c>
      <c r="BH47" s="1124">
        <v>239415</v>
      </c>
      <c r="BI47" s="1124">
        <v>288800</v>
      </c>
      <c r="BJ47" s="1124">
        <v>369664</v>
      </c>
      <c r="BK47" s="1124">
        <v>411829</v>
      </c>
      <c r="BL47" s="1116"/>
    </row>
    <row r="48" spans="1:64" ht="15.75" customHeight="1">
      <c r="A48" s="1127" t="s">
        <v>1621</v>
      </c>
      <c r="B48" s="2355" t="s">
        <v>1622</v>
      </c>
      <c r="C48" s="2356"/>
      <c r="D48" s="2356"/>
      <c r="E48" s="2356"/>
      <c r="F48" s="2356"/>
      <c r="G48" s="2356"/>
      <c r="H48" s="2356"/>
      <c r="I48" s="2356"/>
      <c r="J48" s="2356"/>
      <c r="K48" s="2356"/>
      <c r="L48" s="2356"/>
      <c r="M48" s="2356"/>
      <c r="N48" s="2356"/>
      <c r="O48" s="2356"/>
      <c r="P48" s="2356"/>
      <c r="Q48" s="2356"/>
      <c r="R48" s="2356"/>
      <c r="S48" s="2356"/>
      <c r="T48" s="2356"/>
      <c r="U48" s="2356"/>
      <c r="V48" s="2356"/>
      <c r="W48" s="2356"/>
      <c r="X48" s="2356"/>
      <c r="Y48" s="2356"/>
      <c r="Z48" s="2356"/>
      <c r="AA48" s="2356"/>
      <c r="AB48" s="2356"/>
      <c r="AC48" s="2356"/>
      <c r="AD48" s="2356"/>
      <c r="AE48" s="2356"/>
      <c r="AF48" s="2356"/>
      <c r="AG48" s="2356"/>
      <c r="AH48" s="2356"/>
      <c r="AI48" s="2356"/>
      <c r="AJ48" s="2356"/>
      <c r="AK48" s="2357"/>
      <c r="AL48" s="2361" t="str">
        <f>IF(AND(H50="Yes",OR(AB50="Highest Resource",AB50="High Resource")),"Yes","No")</f>
        <v>No</v>
      </c>
      <c r="AM48" s="2362"/>
      <c r="AN48" s="2363"/>
      <c r="AO48" s="2364">
        <f>ROUND(IF(AND(H50="Yes",OR(AB50="High Resource",AB50="Highest Resource"),AL48="Yes"),AO11*0.1,0),0)</f>
        <v>0</v>
      </c>
      <c r="AP48" s="2365"/>
      <c r="AQ48" s="2365"/>
      <c r="AR48" s="2365"/>
      <c r="AS48" s="2365"/>
      <c r="AT48" s="2365"/>
      <c r="AU48" s="2366"/>
      <c r="BA48" s="1118" t="s">
        <v>938</v>
      </c>
      <c r="BB48" s="1119">
        <v>237558</v>
      </c>
      <c r="BC48" s="1119">
        <v>273902</v>
      </c>
      <c r="BD48" s="1119">
        <v>330400</v>
      </c>
      <c r="BE48" s="1119">
        <v>422912</v>
      </c>
      <c r="BF48" s="1119">
        <v>471150</v>
      </c>
      <c r="BG48" s="1120">
        <v>207647</v>
      </c>
      <c r="BH48" s="1120">
        <v>239415</v>
      </c>
      <c r="BI48" s="1120">
        <v>288800</v>
      </c>
      <c r="BJ48" s="1120">
        <v>369664</v>
      </c>
      <c r="BK48" s="1120">
        <v>411829</v>
      </c>
      <c r="BL48" s="1116"/>
    </row>
    <row r="49" spans="1:64" ht="9" customHeight="1">
      <c r="A49" s="2335"/>
      <c r="B49" s="2358"/>
      <c r="C49" s="2359"/>
      <c r="D49" s="2359"/>
      <c r="E49" s="2359"/>
      <c r="F49" s="2359"/>
      <c r="G49" s="2359"/>
      <c r="H49" s="2359"/>
      <c r="I49" s="2359"/>
      <c r="J49" s="2359"/>
      <c r="K49" s="2359"/>
      <c r="L49" s="2359"/>
      <c r="M49" s="2359"/>
      <c r="N49" s="2359"/>
      <c r="O49" s="2359"/>
      <c r="P49" s="2359"/>
      <c r="Q49" s="2359"/>
      <c r="R49" s="2359"/>
      <c r="S49" s="2359"/>
      <c r="T49" s="2359"/>
      <c r="U49" s="2359"/>
      <c r="V49" s="2359"/>
      <c r="W49" s="2359"/>
      <c r="X49" s="2359"/>
      <c r="Y49" s="2359"/>
      <c r="Z49" s="2359"/>
      <c r="AA49" s="2359"/>
      <c r="AB49" s="2359"/>
      <c r="AC49" s="2359"/>
      <c r="AD49" s="2359"/>
      <c r="AE49" s="2359"/>
      <c r="AF49" s="2359"/>
      <c r="AG49" s="2359"/>
      <c r="AH49" s="2359"/>
      <c r="AI49" s="2359"/>
      <c r="AJ49" s="2359"/>
      <c r="AK49" s="2360"/>
      <c r="AL49" s="2337" t="str">
        <f>IF(H50="Yes","In left yellow shaded cell, select TCAC/HCD Opportunity Map Resource level","")</f>
        <v/>
      </c>
      <c r="AM49" s="2338"/>
      <c r="AN49" s="2338"/>
      <c r="AO49" s="2338"/>
      <c r="AP49" s="2338"/>
      <c r="AQ49" s="2338"/>
      <c r="AR49" s="2338"/>
      <c r="AS49" s="2338"/>
      <c r="AT49" s="2338"/>
      <c r="AU49" s="2339"/>
      <c r="BA49" s="1122" t="s">
        <v>939</v>
      </c>
      <c r="BB49" s="1123">
        <v>293352</v>
      </c>
      <c r="BC49" s="1123">
        <v>338232</v>
      </c>
      <c r="BD49" s="1123">
        <v>408000</v>
      </c>
      <c r="BE49" s="1123">
        <v>522240</v>
      </c>
      <c r="BF49" s="1123">
        <v>581808</v>
      </c>
      <c r="BG49" s="1124">
        <v>253663</v>
      </c>
      <c r="BH49" s="1124">
        <v>292471</v>
      </c>
      <c r="BI49" s="1124">
        <v>352800</v>
      </c>
      <c r="BJ49" s="1124">
        <v>451584</v>
      </c>
      <c r="BK49" s="1124">
        <v>503093</v>
      </c>
      <c r="BL49" s="1116"/>
    </row>
    <row r="50" spans="1:64" ht="30" customHeight="1" thickBot="1">
      <c r="A50" s="2336"/>
      <c r="B50" s="2343" t="s">
        <v>1623</v>
      </c>
      <c r="C50" s="2344"/>
      <c r="D50" s="2344"/>
      <c r="E50" s="2344"/>
      <c r="F50" s="2344"/>
      <c r="G50" s="2344"/>
      <c r="H50" s="2345" t="str">
        <f>IF(AND(AT2="9%",AX50="Yes"),"Yes","No")</f>
        <v>No</v>
      </c>
      <c r="I50" s="2346"/>
      <c r="J50" s="2347" t="s">
        <v>1624</v>
      </c>
      <c r="K50" s="2348"/>
      <c r="L50" s="2348"/>
      <c r="M50" s="2348"/>
      <c r="N50" s="2348"/>
      <c r="O50" s="2348"/>
      <c r="P50" s="2348"/>
      <c r="Q50" s="2348"/>
      <c r="R50" s="2348"/>
      <c r="S50" s="2348"/>
      <c r="T50" s="2348"/>
      <c r="U50" s="2348"/>
      <c r="V50" s="2348"/>
      <c r="W50" s="2348"/>
      <c r="X50" s="2348"/>
      <c r="Y50" s="2348"/>
      <c r="Z50" s="2348"/>
      <c r="AA50" s="2348"/>
      <c r="AB50" s="2349"/>
      <c r="AC50" s="2350"/>
      <c r="AD50" s="2350"/>
      <c r="AE50" s="2350"/>
      <c r="AF50" s="2350"/>
      <c r="AG50" s="2350"/>
      <c r="AH50" s="2350"/>
      <c r="AI50" s="2350"/>
      <c r="AJ50" s="2350"/>
      <c r="AK50" s="2351"/>
      <c r="AL50" s="2340"/>
      <c r="AM50" s="2341"/>
      <c r="AN50" s="2341"/>
      <c r="AO50" s="2341"/>
      <c r="AP50" s="2341"/>
      <c r="AQ50" s="2341"/>
      <c r="AR50" s="2341"/>
      <c r="AS50" s="2341"/>
      <c r="AT50" s="2341"/>
      <c r="AU50" s="2342"/>
      <c r="AX50" s="1134" t="str">
        <f>IFERROR(IF(VLOOKUP(CountyTBL,TblData,AY7,FALSE)&lt;=400000,"Yes","No"),"")</f>
        <v/>
      </c>
      <c r="BA50" s="1118" t="s">
        <v>940</v>
      </c>
      <c r="BB50" s="1119">
        <v>293352</v>
      </c>
      <c r="BC50" s="1119">
        <v>338232</v>
      </c>
      <c r="BD50" s="1119">
        <v>408000</v>
      </c>
      <c r="BE50" s="1119">
        <v>522240</v>
      </c>
      <c r="BF50" s="1119">
        <v>581808</v>
      </c>
      <c r="BG50" s="1120">
        <v>253663</v>
      </c>
      <c r="BH50" s="1120">
        <v>292471</v>
      </c>
      <c r="BI50" s="1120">
        <v>352800</v>
      </c>
      <c r="BJ50" s="1120">
        <v>451584</v>
      </c>
      <c r="BK50" s="1120">
        <v>503093</v>
      </c>
      <c r="BL50" s="1116"/>
    </row>
    <row r="51" spans="1:64" ht="15" customHeight="1" thickBot="1">
      <c r="A51" s="2375" t="s">
        <v>1625</v>
      </c>
      <c r="B51" s="2375"/>
      <c r="C51" s="2375"/>
      <c r="D51" s="2375"/>
      <c r="E51" s="2375"/>
      <c r="F51" s="2375"/>
      <c r="G51" s="2375"/>
      <c r="H51" s="2375"/>
      <c r="I51" s="2375"/>
      <c r="J51" s="2375"/>
      <c r="K51" s="2375"/>
      <c r="L51" s="2375"/>
      <c r="M51" s="2375"/>
      <c r="N51" s="2375"/>
      <c r="O51" s="2375"/>
      <c r="P51" s="2375"/>
      <c r="Q51" s="2375"/>
      <c r="R51" s="2375"/>
      <c r="S51" s="2375"/>
      <c r="T51" s="2375"/>
      <c r="U51" s="2375"/>
      <c r="V51" s="2375"/>
      <c r="W51" s="2375"/>
      <c r="X51" s="2375"/>
      <c r="Y51" s="2375"/>
      <c r="Z51" s="2375"/>
      <c r="AA51" s="2375"/>
      <c r="AB51" s="2375"/>
      <c r="AC51" s="2375"/>
      <c r="AD51" s="2375"/>
      <c r="AE51" s="2375"/>
      <c r="AF51" s="2375"/>
      <c r="AG51" s="2375"/>
      <c r="AH51" s="2375"/>
      <c r="AI51" s="2375"/>
      <c r="AJ51" s="2375"/>
      <c r="AK51" s="2375"/>
      <c r="AL51" s="2375"/>
      <c r="AM51" s="2375"/>
      <c r="AN51" s="2376"/>
      <c r="AO51" s="2377">
        <f ca="1">(MIN(AO13+AO15+AO17+AO19+AO20+AO21,AO11*0.39)+AO11+AO23+AO43+AO46+AO48)</f>
        <v>0</v>
      </c>
      <c r="AP51" s="2378"/>
      <c r="AQ51" s="2378"/>
      <c r="AR51" s="2378"/>
      <c r="AS51" s="2378"/>
      <c r="AT51" s="2378"/>
      <c r="AU51" s="2379"/>
      <c r="BA51" s="1122" t="s">
        <v>941</v>
      </c>
      <c r="BB51" s="1123">
        <v>237558</v>
      </c>
      <c r="BC51" s="1123">
        <v>273902</v>
      </c>
      <c r="BD51" s="1123">
        <v>330400</v>
      </c>
      <c r="BE51" s="1123">
        <v>422912</v>
      </c>
      <c r="BF51" s="1123">
        <v>471150</v>
      </c>
      <c r="BG51" s="1124">
        <v>207647</v>
      </c>
      <c r="BH51" s="1124">
        <v>239415</v>
      </c>
      <c r="BI51" s="1124">
        <v>288800</v>
      </c>
      <c r="BJ51" s="1124">
        <v>369664</v>
      </c>
      <c r="BK51" s="1124">
        <v>411829</v>
      </c>
      <c r="BL51" s="1116"/>
    </row>
    <row r="52" spans="1:64" ht="15" customHeight="1" thickBot="1">
      <c r="A52" s="2380" t="str">
        <f>IF(AO3="Perm Close","Adj. Threshold Basis Limit multiplied by 170%:","Adj. Threshold Basis Limit multiplied by 160%:")</f>
        <v>Adj. Threshold Basis Limit multiplied by 160%:</v>
      </c>
      <c r="B52" s="2381"/>
      <c r="C52" s="2381"/>
      <c r="D52" s="2381"/>
      <c r="E52" s="2381"/>
      <c r="F52" s="2381"/>
      <c r="G52" s="2381"/>
      <c r="H52" s="2381"/>
      <c r="I52" s="2381"/>
      <c r="J52" s="2381"/>
      <c r="K52" s="2381"/>
      <c r="L52" s="2381"/>
      <c r="M52" s="2381"/>
      <c r="N52" s="2381"/>
      <c r="O52" s="2381"/>
      <c r="P52" s="2381"/>
      <c r="Q52" s="2381"/>
      <c r="R52" s="2381"/>
      <c r="S52" s="2381"/>
      <c r="T52" s="2381"/>
      <c r="U52" s="2381"/>
      <c r="V52" s="2381"/>
      <c r="W52" s="2381"/>
      <c r="X52" s="2381"/>
      <c r="Y52" s="2381"/>
      <c r="Z52" s="2381"/>
      <c r="AA52" s="2381"/>
      <c r="AB52" s="2381"/>
      <c r="AC52" s="2381"/>
      <c r="AD52" s="2381"/>
      <c r="AE52" s="2381"/>
      <c r="AF52" s="2381"/>
      <c r="AG52" s="2381"/>
      <c r="AH52" s="2381"/>
      <c r="AI52" s="2381"/>
      <c r="AJ52" s="2381"/>
      <c r="AK52" s="2381"/>
      <c r="AL52" s="2381"/>
      <c r="AM52" s="2381"/>
      <c r="AN52" s="2382"/>
      <c r="AO52" s="2383">
        <f ca="1">IF(AO3="Perm Close",AO51*1.7,AO51*1.6)</f>
        <v>0</v>
      </c>
      <c r="AP52" s="2383"/>
      <c r="AQ52" s="2383"/>
      <c r="AR52" s="2383"/>
      <c r="AS52" s="2383"/>
      <c r="AT52" s="2383"/>
      <c r="AU52" s="2384"/>
      <c r="BA52" s="1122" t="s">
        <v>943</v>
      </c>
      <c r="BB52" s="1123">
        <v>237558</v>
      </c>
      <c r="BC52" s="1123">
        <v>273902</v>
      </c>
      <c r="BD52" s="1123">
        <v>330400</v>
      </c>
      <c r="BE52" s="1123">
        <v>422912</v>
      </c>
      <c r="BF52" s="1123">
        <v>471150</v>
      </c>
      <c r="BG52" s="1124">
        <v>207647</v>
      </c>
      <c r="BH52" s="1124">
        <v>239415</v>
      </c>
      <c r="BI52" s="1124">
        <v>288800</v>
      </c>
      <c r="BJ52" s="1124">
        <v>369664</v>
      </c>
      <c r="BK52" s="1124">
        <v>411829</v>
      </c>
      <c r="BL52" s="1116"/>
    </row>
    <row r="53" spans="1:64" ht="15.75" thickBot="1">
      <c r="A53" s="2385" t="str">
        <f>IF(G2="",CONCATENATE("HCD HIGH COST TEST RESULT: ",G2),CONCATENATE("HCD HIGH COST TEST RESULT FOR: ",G2))</f>
        <v xml:space="preserve">HCD HIGH COST TEST RESULT: </v>
      </c>
      <c r="B53" s="2386"/>
      <c r="C53" s="2386"/>
      <c r="D53" s="2386"/>
      <c r="E53" s="2386"/>
      <c r="F53" s="2386"/>
      <c r="G53" s="2386"/>
      <c r="H53" s="2386"/>
      <c r="I53" s="2386"/>
      <c r="J53" s="2386"/>
      <c r="K53" s="2386"/>
      <c r="L53" s="2386"/>
      <c r="M53" s="2386"/>
      <c r="N53" s="2386"/>
      <c r="O53" s="2386"/>
      <c r="P53" s="2386"/>
      <c r="Q53" s="2386"/>
      <c r="R53" s="2386"/>
      <c r="S53" s="2386"/>
      <c r="T53" s="2386"/>
      <c r="U53" s="2386"/>
      <c r="V53" s="2386"/>
      <c r="W53" s="2386"/>
      <c r="X53" s="2386"/>
      <c r="Y53" s="2386"/>
      <c r="Z53" s="2386"/>
      <c r="AA53" s="2386"/>
      <c r="AB53" s="2386"/>
      <c r="AC53" s="2386"/>
      <c r="AD53" s="2387"/>
      <c r="AE53" s="2388">
        <f ca="1">IF(AO51=0,0,AE54/AO51)</f>
        <v>0</v>
      </c>
      <c r="AF53" s="2389"/>
      <c r="AG53" s="2389"/>
      <c r="AH53" s="2389"/>
      <c r="AI53" s="2389"/>
      <c r="AJ53" s="2389"/>
      <c r="AK53" s="2390"/>
      <c r="AL53" s="2391"/>
      <c r="AM53" s="2391"/>
      <c r="AN53" s="2391"/>
      <c r="AO53" s="2391"/>
      <c r="AP53" s="2391"/>
      <c r="AQ53" s="2391"/>
      <c r="AR53" s="2391"/>
      <c r="AS53" s="2391"/>
      <c r="AT53" s="2391"/>
      <c r="AU53" s="2392"/>
      <c r="BA53" s="1118" t="s">
        <v>944</v>
      </c>
      <c r="BB53" s="1119">
        <v>237558</v>
      </c>
      <c r="BC53" s="1119">
        <v>273902</v>
      </c>
      <c r="BD53" s="1119">
        <v>330400</v>
      </c>
      <c r="BE53" s="1119">
        <v>422912</v>
      </c>
      <c r="BF53" s="1119">
        <v>471150</v>
      </c>
      <c r="BG53" s="1120">
        <v>207647</v>
      </c>
      <c r="BH53" s="1120">
        <v>239415</v>
      </c>
      <c r="BI53" s="1120">
        <v>288800</v>
      </c>
      <c r="BJ53" s="1120">
        <v>369664</v>
      </c>
      <c r="BK53" s="1120">
        <v>411829</v>
      </c>
      <c r="BL53" s="1116"/>
    </row>
    <row r="54" spans="1:64" ht="15" customHeight="1" thickBot="1">
      <c r="A54" s="1135" t="s">
        <v>1626</v>
      </c>
      <c r="B54" s="2367" t="s">
        <v>1682</v>
      </c>
      <c r="C54" s="2368"/>
      <c r="D54" s="2368"/>
      <c r="E54" s="2368"/>
      <c r="F54" s="2368"/>
      <c r="G54" s="2368"/>
      <c r="H54" s="2368"/>
      <c r="I54" s="2368"/>
      <c r="J54" s="2368"/>
      <c r="K54" s="2368"/>
      <c r="L54" s="2368"/>
      <c r="M54" s="2368"/>
      <c r="N54" s="2368"/>
      <c r="O54" s="2368"/>
      <c r="P54" s="2368"/>
      <c r="Q54" s="2368"/>
      <c r="R54" s="2368"/>
      <c r="S54" s="2368"/>
      <c r="T54" s="2368"/>
      <c r="U54" s="2368"/>
      <c r="V54" s="2368"/>
      <c r="W54" s="2368"/>
      <c r="X54" s="2368"/>
      <c r="Y54" s="2368"/>
      <c r="Z54" s="2368"/>
      <c r="AA54" s="2368"/>
      <c r="AB54" s="2368"/>
      <c r="AC54" s="2368"/>
      <c r="AD54" s="2369"/>
      <c r="AE54" s="2370">
        <f>'Dev Budget'!F112</f>
        <v>0</v>
      </c>
      <c r="AF54" s="2371"/>
      <c r="AG54" s="2371"/>
      <c r="AH54" s="2371"/>
      <c r="AI54" s="2371"/>
      <c r="AJ54" s="2371"/>
      <c r="AK54" s="2372"/>
      <c r="AL54" s="2373" t="str">
        <f>IF(AE54=0,"",IF(AE54&lt;=AO52,"Costs Reasonable",IF(AO3="Perm Close","Costs too high &gt; 170%","Costs too high &gt; 160%")))</f>
        <v/>
      </c>
      <c r="AM54" s="2373"/>
      <c r="AN54" s="2373"/>
      <c r="AO54" s="2373"/>
      <c r="AP54" s="2373"/>
      <c r="AQ54" s="2373"/>
      <c r="AR54" s="2373"/>
      <c r="AS54" s="2373"/>
      <c r="AT54" s="2373"/>
      <c r="AU54" s="2374"/>
      <c r="BA54" s="1122" t="s">
        <v>945</v>
      </c>
      <c r="BB54" s="1123">
        <v>237558</v>
      </c>
      <c r="BC54" s="1123">
        <v>273902</v>
      </c>
      <c r="BD54" s="1123">
        <v>330400</v>
      </c>
      <c r="BE54" s="1123">
        <v>422912</v>
      </c>
      <c r="BF54" s="1123">
        <v>471150</v>
      </c>
      <c r="BG54" s="1124">
        <v>207647</v>
      </c>
      <c r="BH54" s="1124">
        <v>239415</v>
      </c>
      <c r="BI54" s="1124">
        <v>288800</v>
      </c>
      <c r="BJ54" s="1124">
        <v>369664</v>
      </c>
      <c r="BK54" s="1124">
        <v>411829</v>
      </c>
      <c r="BL54" s="1116"/>
    </row>
    <row r="55" spans="1:64">
      <c r="BA55" s="1118" t="s">
        <v>946</v>
      </c>
      <c r="BB55" s="1119">
        <v>237558</v>
      </c>
      <c r="BC55" s="1119">
        <v>273902</v>
      </c>
      <c r="BD55" s="1119">
        <v>330400</v>
      </c>
      <c r="BE55" s="1119">
        <v>422912</v>
      </c>
      <c r="BF55" s="1119">
        <v>471150</v>
      </c>
      <c r="BG55" s="1120">
        <v>207647</v>
      </c>
      <c r="BH55" s="1120">
        <v>239415</v>
      </c>
      <c r="BI55" s="1120">
        <v>288800</v>
      </c>
      <c r="BJ55" s="1120">
        <v>369664</v>
      </c>
      <c r="BK55" s="1120">
        <v>411829</v>
      </c>
      <c r="BL55" s="1116"/>
    </row>
    <row r="56" spans="1:64">
      <c r="BA56" s="1122" t="s">
        <v>947</v>
      </c>
      <c r="BB56" s="1123">
        <v>253663</v>
      </c>
      <c r="BC56" s="1123">
        <v>292471</v>
      </c>
      <c r="BD56" s="1123">
        <v>352800</v>
      </c>
      <c r="BE56" s="1123">
        <v>451584</v>
      </c>
      <c r="BF56" s="1123">
        <v>503093</v>
      </c>
      <c r="BG56" s="1124">
        <v>223753</v>
      </c>
      <c r="BH56" s="1124">
        <v>257985</v>
      </c>
      <c r="BI56" s="1124">
        <v>311200</v>
      </c>
      <c r="BJ56" s="1124">
        <v>398336</v>
      </c>
      <c r="BK56" s="1124">
        <v>443771</v>
      </c>
      <c r="BL56" s="1116"/>
    </row>
    <row r="57" spans="1:64">
      <c r="BA57" s="1118" t="s">
        <v>948</v>
      </c>
      <c r="BB57" s="1119">
        <v>237558</v>
      </c>
      <c r="BC57" s="1119">
        <v>273902</v>
      </c>
      <c r="BD57" s="1119">
        <v>330400</v>
      </c>
      <c r="BE57" s="1119">
        <v>422912</v>
      </c>
      <c r="BF57" s="1119">
        <v>471150</v>
      </c>
      <c r="BG57" s="1120">
        <v>207647</v>
      </c>
      <c r="BH57" s="1120">
        <v>239415</v>
      </c>
      <c r="BI57" s="1120">
        <v>288800</v>
      </c>
      <c r="BJ57" s="1120">
        <v>369664</v>
      </c>
      <c r="BK57" s="1120">
        <v>411829</v>
      </c>
      <c r="BL57" s="1116"/>
    </row>
    <row r="58" spans="1:64">
      <c r="BA58" s="1122" t="s">
        <v>949</v>
      </c>
      <c r="BB58" s="1123">
        <v>237558</v>
      </c>
      <c r="BC58" s="1123">
        <v>273902</v>
      </c>
      <c r="BD58" s="1123">
        <v>330400</v>
      </c>
      <c r="BE58" s="1123">
        <v>422912</v>
      </c>
      <c r="BF58" s="1123">
        <v>471150</v>
      </c>
      <c r="BG58" s="1124">
        <v>207647</v>
      </c>
      <c r="BH58" s="1124">
        <v>239415</v>
      </c>
      <c r="BI58" s="1124">
        <v>288800</v>
      </c>
      <c r="BJ58" s="1124">
        <v>369664</v>
      </c>
      <c r="BK58" s="1124">
        <v>411829</v>
      </c>
      <c r="BL58" s="1116"/>
    </row>
  </sheetData>
  <sheetProtection password="CC32" sheet="1" objects="1" scenarios="1"/>
  <mergeCells count="140">
    <mergeCell ref="B54:AD54"/>
    <mergeCell ref="AE54:AK54"/>
    <mergeCell ref="AL54:AU54"/>
    <mergeCell ref="A51:AN51"/>
    <mergeCell ref="AO51:AU51"/>
    <mergeCell ref="A52:AN52"/>
    <mergeCell ref="AO52:AU52"/>
    <mergeCell ref="A53:AD53"/>
    <mergeCell ref="AE53:AK53"/>
    <mergeCell ref="AL53:AU53"/>
    <mergeCell ref="A49:A50"/>
    <mergeCell ref="AL49:AU50"/>
    <mergeCell ref="B50:G50"/>
    <mergeCell ref="H50:I50"/>
    <mergeCell ref="J50:AA50"/>
    <mergeCell ref="AB50:AK50"/>
    <mergeCell ref="B46:AK47"/>
    <mergeCell ref="AL46:AN46"/>
    <mergeCell ref="AO46:AU46"/>
    <mergeCell ref="AL47:AU47"/>
    <mergeCell ref="B48:AK49"/>
    <mergeCell ref="AL48:AN48"/>
    <mergeCell ref="AO48:AU48"/>
    <mergeCell ref="B43:AK44"/>
    <mergeCell ref="AL43:AN43"/>
    <mergeCell ref="AO43:AU43"/>
    <mergeCell ref="A44:A45"/>
    <mergeCell ref="AL44:AU45"/>
    <mergeCell ref="B45:J45"/>
    <mergeCell ref="K45:T45"/>
    <mergeCell ref="U45:AF45"/>
    <mergeCell ref="AG45:AK45"/>
    <mergeCell ref="A25:A42"/>
    <mergeCell ref="B25:AK26"/>
    <mergeCell ref="AL25:AN25"/>
    <mergeCell ref="B39:AK40"/>
    <mergeCell ref="AL39:AN39"/>
    <mergeCell ref="AL40:AN40"/>
    <mergeCell ref="B41:AK42"/>
    <mergeCell ref="AL41:AN41"/>
    <mergeCell ref="AL42:AN42"/>
    <mergeCell ref="B35:AK36"/>
    <mergeCell ref="AL35:AN35"/>
    <mergeCell ref="AL36:AN36"/>
    <mergeCell ref="B37:AK38"/>
    <mergeCell ref="AL37:AN37"/>
    <mergeCell ref="AL38:AN38"/>
    <mergeCell ref="AO25:AU42"/>
    <mergeCell ref="AL26:AN26"/>
    <mergeCell ref="B27:AK28"/>
    <mergeCell ref="AL27:AN27"/>
    <mergeCell ref="AL28:AN28"/>
    <mergeCell ref="B29:AK30"/>
    <mergeCell ref="AL29:AN29"/>
    <mergeCell ref="B21:AK22"/>
    <mergeCell ref="AL21:AN21"/>
    <mergeCell ref="AO21:AU22"/>
    <mergeCell ref="AL22:AN22"/>
    <mergeCell ref="AL30:AN30"/>
    <mergeCell ref="B31:AK32"/>
    <mergeCell ref="AL31:AN31"/>
    <mergeCell ref="AL32:AN32"/>
    <mergeCell ref="B33:AK34"/>
    <mergeCell ref="AL33:AN33"/>
    <mergeCell ref="AL34:AN34"/>
    <mergeCell ref="A23:A24"/>
    <mergeCell ref="B23:AK24"/>
    <mergeCell ref="AL23:AN23"/>
    <mergeCell ref="AO23:AU24"/>
    <mergeCell ref="AL24:AN24"/>
    <mergeCell ref="B19:AK19"/>
    <mergeCell ref="AL19:AN19"/>
    <mergeCell ref="AO19:AU19"/>
    <mergeCell ref="B20:AK20"/>
    <mergeCell ref="AL20:AN20"/>
    <mergeCell ref="AO20:AU20"/>
    <mergeCell ref="A15:A16"/>
    <mergeCell ref="B15:AK16"/>
    <mergeCell ref="AL15:AN15"/>
    <mergeCell ref="AO15:AU16"/>
    <mergeCell ref="AL16:AN16"/>
    <mergeCell ref="B17:AK18"/>
    <mergeCell ref="AL17:AN17"/>
    <mergeCell ref="AO17:AU18"/>
    <mergeCell ref="AL18:AN18"/>
    <mergeCell ref="A11:AN11"/>
    <mergeCell ref="AO11:AU11"/>
    <mergeCell ref="A12:AK12"/>
    <mergeCell ref="AL12:AN12"/>
    <mergeCell ref="AO12:AU12"/>
    <mergeCell ref="B13:AK14"/>
    <mergeCell ref="AL13:AN13"/>
    <mergeCell ref="AO13:AU14"/>
    <mergeCell ref="AL14:AN14"/>
    <mergeCell ref="A9:H9"/>
    <mergeCell ref="I9:X9"/>
    <mergeCell ref="Y9:AN9"/>
    <mergeCell ref="AO9:AU9"/>
    <mergeCell ref="A10:N10"/>
    <mergeCell ref="O10:S10"/>
    <mergeCell ref="T10:X10"/>
    <mergeCell ref="Y10:AN10"/>
    <mergeCell ref="AO10:AU10"/>
    <mergeCell ref="A7:H7"/>
    <mergeCell ref="I7:X7"/>
    <mergeCell ref="Y7:AN7"/>
    <mergeCell ref="AO7:AU7"/>
    <mergeCell ref="A8:H8"/>
    <mergeCell ref="I8:X8"/>
    <mergeCell ref="Y8:AN8"/>
    <mergeCell ref="AO8:AU8"/>
    <mergeCell ref="A5:H5"/>
    <mergeCell ref="I5:X5"/>
    <mergeCell ref="Y5:AN5"/>
    <mergeCell ref="AO5:AU5"/>
    <mergeCell ref="A6:H6"/>
    <mergeCell ref="I6:X6"/>
    <mergeCell ref="Y6:AN6"/>
    <mergeCell ref="AO6:AU6"/>
    <mergeCell ref="AK3:AN3"/>
    <mergeCell ref="AO3:AU3"/>
    <mergeCell ref="A4:H4"/>
    <mergeCell ref="I4:X4"/>
    <mergeCell ref="Y4:AN4"/>
    <mergeCell ref="AO4:AU4"/>
    <mergeCell ref="A3:D3"/>
    <mergeCell ref="E3:N3"/>
    <mergeCell ref="O3:T3"/>
    <mergeCell ref="U3:Z3"/>
    <mergeCell ref="AA3:AE3"/>
    <mergeCell ref="AF3:AJ3"/>
    <mergeCell ref="A1:AU1"/>
    <mergeCell ref="A2:E2"/>
    <mergeCell ref="F2:Y2"/>
    <mergeCell ref="Z2:AA2"/>
    <mergeCell ref="AB2:AE2"/>
    <mergeCell ref="AF2:AI2"/>
    <mergeCell ref="AJ2:AO2"/>
    <mergeCell ref="AP2:AS2"/>
    <mergeCell ref="AT2:AU2"/>
  </mergeCells>
  <conditionalFormatting sqref="AL47">
    <cfRule type="cellIs" dxfId="9" priority="10" stopIfTrue="1" operator="equal">
      <formula>"Please Enter Amount Above:"</formula>
    </cfRule>
  </conditionalFormatting>
  <conditionalFormatting sqref="AL44">
    <cfRule type="cellIs" dxfId="8" priority="9" operator="equal">
      <formula>"Please Select Type of Work and Enter Cost:"</formula>
    </cfRule>
  </conditionalFormatting>
  <conditionalFormatting sqref="AO46:AU46">
    <cfRule type="expression" dxfId="7" priority="8">
      <formula>$AL$46="Yes"</formula>
    </cfRule>
  </conditionalFormatting>
  <conditionalFormatting sqref="K45:T45">
    <cfRule type="expression" dxfId="6" priority="7">
      <formula>$AL$43="Yes"</formula>
    </cfRule>
  </conditionalFormatting>
  <conditionalFormatting sqref="AG45:AK45">
    <cfRule type="expression" dxfId="5" priority="6">
      <formula>$AL$43="Yes"</formula>
    </cfRule>
  </conditionalFormatting>
  <conditionalFormatting sqref="AL25:AN25 AL27:AN27 AL29:AN29 AL31:AN31 AL33:AN33 AL35:AN35 AL37:AN37 AL39:AN39 AL41:AN41">
    <cfRule type="expression" dxfId="4" priority="5">
      <formula>$AL$23="Yes"</formula>
    </cfRule>
  </conditionalFormatting>
  <conditionalFormatting sqref="AL54:AU54">
    <cfRule type="expression" dxfId="3" priority="3" stopIfTrue="1">
      <formula>$AE$54&gt;$AO$52</formula>
    </cfRule>
    <cfRule type="expression" dxfId="2" priority="4">
      <formula>AND($AE$54&lt;&gt;0,$AE$54&lt;=$AO$52)</formula>
    </cfRule>
  </conditionalFormatting>
  <conditionalFormatting sqref="AB50">
    <cfRule type="expression" dxfId="0" priority="2">
      <formula>$H$50="Yes"</formula>
    </cfRule>
  </conditionalFormatting>
  <conditionalFormatting sqref="O3:AJ3">
    <cfRule type="expression" dxfId="1" priority="1">
      <formula>$AO$3="Origination"</formula>
    </cfRule>
  </conditionalFormatting>
  <dataValidations count="4">
    <dataValidation type="list" allowBlank="1" showInputMessage="1" showErrorMessage="1" sqref="O10:S10">
      <formula1>"0,1,2,3"</formula1>
    </dataValidation>
    <dataValidation type="list" allowBlank="1" showInputMessage="1" showErrorMessage="1" sqref="AB50">
      <formula1>"High Resource,High Segregation &amp; Poverty,Highest Resource,Low Resource,Missing/Insufficient Data,Moderate Resource,National &amp; State Park/Forest/Rec Area"</formula1>
    </dataValidation>
    <dataValidation type="list" allowBlank="1" showInputMessage="1" showErrorMessage="1" sqref="AL35 AL43 AL15 AL17 AL19:AL21 AL46 AL39 AL25 AL27 AL29 AL31 AL41 AL37 AL33 AL13 AL23">
      <formula1>"Yes,No"</formula1>
    </dataValidation>
    <dataValidation type="list" allowBlank="1" showInputMessage="1" showErrorMessage="1" sqref="K45">
      <formula1>"N/A,Seismic Upgrading, Environmental Mitigation,Both"</formula1>
    </dataValidation>
  </dataValidations>
  <printOptions horizontalCentered="1"/>
  <pageMargins left="0.25" right="0.25" top="0.25" bottom="0.3" header="0" footer="0"/>
  <pageSetup scale="74" orientation="portrait" r:id="rId1"/>
  <headerFooter scaleWithDoc="0" alignWithMargins="0">
    <oddFooter>&amp;C&amp;9Page &amp;P of &amp;N&amp;R&amp;"Arial,Italic"&amp;9Universal Application - &amp;A</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pageSetUpPr fitToPage="1"/>
  </sheetPr>
  <dimension ref="A1:AU61"/>
  <sheetViews>
    <sheetView showGridLines="0" zoomScaleNormal="100" workbookViewId="0">
      <selection activeCell="A2" sqref="A2:AL2"/>
    </sheetView>
  </sheetViews>
  <sheetFormatPr defaultColWidth="9.140625" defaultRowHeight="12.75"/>
  <cols>
    <col min="1" max="8" width="4.140625" style="877" customWidth="1"/>
    <col min="9" max="9" width="4.7109375" style="877" customWidth="1"/>
    <col min="10" max="10" width="4.140625" style="877" customWidth="1"/>
    <col min="11" max="38" width="4.140625" style="867" customWidth="1"/>
    <col min="39" max="42" width="9.140625" style="867"/>
    <col min="43" max="43" width="9.140625" style="867" hidden="1" customWidth="1"/>
    <col min="44" max="47" width="10" style="867" hidden="1" customWidth="1"/>
    <col min="48" max="16384" width="9.140625" style="867"/>
  </cols>
  <sheetData>
    <row r="1" spans="1:47" ht="15" customHeight="1">
      <c r="A1" s="2394">
        <f>'General '!A45</f>
        <v>0</v>
      </c>
      <c r="B1" s="2394"/>
      <c r="C1" s="2394"/>
      <c r="D1" s="2394"/>
      <c r="E1" s="2394"/>
      <c r="F1" s="2394"/>
      <c r="G1" s="2394"/>
      <c r="H1" s="2394"/>
      <c r="I1" s="2394"/>
      <c r="J1" s="2394"/>
      <c r="K1" s="2394"/>
      <c r="L1" s="2394"/>
      <c r="M1" s="2394"/>
      <c r="N1" s="2394"/>
      <c r="O1" s="2394"/>
      <c r="P1" s="2394"/>
      <c r="Q1" s="2394"/>
      <c r="R1" s="2394"/>
      <c r="S1" s="2394"/>
      <c r="T1" s="2394"/>
      <c r="U1" s="2394"/>
      <c r="V1" s="2394"/>
      <c r="W1" s="2394"/>
      <c r="X1" s="2394"/>
      <c r="Y1" s="2394"/>
      <c r="Z1" s="2394"/>
      <c r="AA1" s="2394"/>
      <c r="AB1" s="2394"/>
      <c r="AC1" s="2394"/>
      <c r="AD1" s="2394"/>
      <c r="AE1" s="2394"/>
      <c r="AF1" s="2394"/>
      <c r="AG1" s="2394"/>
      <c r="AH1" s="2394"/>
      <c r="AI1" s="2394"/>
      <c r="AJ1" s="2394"/>
      <c r="AK1" s="2394"/>
      <c r="AL1" s="2394"/>
      <c r="AQ1" s="868"/>
      <c r="AR1" s="869" t="s">
        <v>1332</v>
      </c>
      <c r="AS1" s="869" t="s">
        <v>1333</v>
      </c>
      <c r="AT1" s="869" t="s">
        <v>1334</v>
      </c>
      <c r="AU1" s="870" t="s">
        <v>1335</v>
      </c>
    </row>
    <row r="2" spans="1:47" ht="21.75" customHeight="1">
      <c r="A2" s="2401" t="s">
        <v>1666</v>
      </c>
      <c r="B2" s="2401"/>
      <c r="C2" s="2401"/>
      <c r="D2" s="2401"/>
      <c r="E2" s="2401"/>
      <c r="F2" s="2401"/>
      <c r="G2" s="2401"/>
      <c r="H2" s="2401"/>
      <c r="I2" s="2401"/>
      <c r="J2" s="2401"/>
      <c r="K2" s="2401"/>
      <c r="L2" s="2401"/>
      <c r="M2" s="2401"/>
      <c r="N2" s="2401"/>
      <c r="O2" s="2401"/>
      <c r="P2" s="2401"/>
      <c r="Q2" s="2401"/>
      <c r="R2" s="2401"/>
      <c r="S2" s="2401"/>
      <c r="T2" s="2401"/>
      <c r="U2" s="2401"/>
      <c r="V2" s="2401"/>
      <c r="W2" s="2401"/>
      <c r="X2" s="2401"/>
      <c r="Y2" s="2401"/>
      <c r="Z2" s="2401"/>
      <c r="AA2" s="2401"/>
      <c r="AB2" s="2401"/>
      <c r="AC2" s="2401"/>
      <c r="AD2" s="2401"/>
      <c r="AE2" s="2401"/>
      <c r="AF2" s="2401"/>
      <c r="AG2" s="2401"/>
      <c r="AH2" s="2401"/>
      <c r="AI2" s="2401"/>
      <c r="AJ2" s="2401"/>
      <c r="AK2" s="2401"/>
      <c r="AL2" s="2401"/>
      <c r="AQ2" s="871" t="s">
        <v>1336</v>
      </c>
      <c r="AR2" s="872" t="s">
        <v>1337</v>
      </c>
      <c r="AS2" s="872" t="s">
        <v>1338</v>
      </c>
      <c r="AT2" s="872" t="s">
        <v>1340</v>
      </c>
      <c r="AU2" s="873" t="s">
        <v>733</v>
      </c>
    </row>
    <row r="3" spans="1:47" ht="29.25" customHeight="1">
      <c r="A3" s="2395" t="s">
        <v>1378</v>
      </c>
      <c r="B3" s="2396"/>
      <c r="C3" s="2396"/>
      <c r="D3" s="2396"/>
      <c r="E3" s="2396"/>
      <c r="F3" s="2396"/>
      <c r="G3" s="2396"/>
      <c r="H3" s="2396"/>
      <c r="I3" s="2396"/>
      <c r="J3" s="2396"/>
      <c r="K3" s="2396"/>
      <c r="L3" s="2396"/>
      <c r="M3" s="2396"/>
      <c r="N3" s="2396"/>
      <c r="O3" s="2396"/>
      <c r="P3" s="2396"/>
      <c r="Q3" s="2396"/>
      <c r="R3" s="2396"/>
      <c r="S3" s="2396"/>
      <c r="T3" s="2396"/>
      <c r="U3" s="2396"/>
      <c r="V3" s="2396"/>
      <c r="W3" s="2396"/>
      <c r="X3" s="2396"/>
      <c r="Y3" s="2396"/>
      <c r="Z3" s="2396"/>
      <c r="AA3" s="2396"/>
      <c r="AB3" s="2396"/>
      <c r="AC3" s="2396"/>
      <c r="AD3" s="2396"/>
      <c r="AE3" s="2396"/>
      <c r="AF3" s="2396"/>
      <c r="AG3" s="2396"/>
      <c r="AH3" s="2396"/>
      <c r="AI3" s="2396"/>
      <c r="AJ3" s="2396"/>
      <c r="AK3" s="2396"/>
      <c r="AL3" s="2397"/>
      <c r="AQ3" s="874">
        <v>2017</v>
      </c>
      <c r="AR3" s="875">
        <v>4080</v>
      </c>
      <c r="AS3" s="875">
        <v>3060</v>
      </c>
      <c r="AT3" s="875">
        <v>1051</v>
      </c>
      <c r="AU3" s="875">
        <v>250</v>
      </c>
    </row>
    <row r="4" spans="1:47" ht="63" customHeight="1">
      <c r="A4" s="2398" t="s">
        <v>1379</v>
      </c>
      <c r="B4" s="2399"/>
      <c r="C4" s="2399"/>
      <c r="D4" s="2399"/>
      <c r="E4" s="2399"/>
      <c r="F4" s="2399"/>
      <c r="G4" s="2399"/>
      <c r="H4" s="2399"/>
      <c r="I4" s="2399"/>
      <c r="J4" s="2399"/>
      <c r="K4" s="2399"/>
      <c r="L4" s="2399"/>
      <c r="M4" s="2399"/>
      <c r="N4" s="2399"/>
      <c r="O4" s="2399"/>
      <c r="P4" s="2399"/>
      <c r="Q4" s="2399"/>
      <c r="R4" s="2399"/>
      <c r="S4" s="2399"/>
      <c r="T4" s="2399"/>
      <c r="U4" s="2399"/>
      <c r="V4" s="2399"/>
      <c r="W4" s="2399"/>
      <c r="X4" s="2399"/>
      <c r="Y4" s="2399"/>
      <c r="Z4" s="2399"/>
      <c r="AA4" s="2399"/>
      <c r="AB4" s="2399"/>
      <c r="AC4" s="2399"/>
      <c r="AD4" s="2399"/>
      <c r="AE4" s="2399"/>
      <c r="AF4" s="2399"/>
      <c r="AG4" s="2399"/>
      <c r="AH4" s="2399"/>
      <c r="AI4" s="2399"/>
      <c r="AJ4" s="2399"/>
      <c r="AK4" s="2399"/>
      <c r="AL4" s="2400"/>
      <c r="AQ4" s="874">
        <f>+AQ3+1</f>
        <v>2018</v>
      </c>
      <c r="AR4" s="876">
        <f>ROUND(AR3*1.025,0)</f>
        <v>4182</v>
      </c>
      <c r="AS4" s="876">
        <f>ROUND(AS3*1.025,0)</f>
        <v>3137</v>
      </c>
      <c r="AT4" s="876">
        <f>ROUND(AT3*1.025,0)</f>
        <v>1077</v>
      </c>
      <c r="AU4" s="876">
        <f>ROUND(AU3*1.025,0)</f>
        <v>256</v>
      </c>
    </row>
    <row r="5" spans="1:47" ht="12.75" customHeight="1">
      <c r="E5" s="878"/>
      <c r="F5" s="878"/>
      <c r="G5" s="878"/>
      <c r="H5" s="878"/>
      <c r="AQ5" s="874">
        <f>+AQ4+1</f>
        <v>2019</v>
      </c>
      <c r="AR5" s="876">
        <f t="shared" ref="AR5:AR12" si="0">ROUND(AR4*1.025,0)</f>
        <v>4287</v>
      </c>
      <c r="AS5" s="876">
        <f t="shared" ref="AS5:AS12" si="1">ROUND(AS4*1.025,0)</f>
        <v>3215</v>
      </c>
      <c r="AT5" s="876">
        <f t="shared" ref="AT5:AT12" si="2">ROUND(AT4*1.025,0)</f>
        <v>1104</v>
      </c>
      <c r="AU5" s="876">
        <f t="shared" ref="AU5:AU12" si="3">ROUND(AU4*1.025,0)</f>
        <v>262</v>
      </c>
    </row>
    <row r="6" spans="1:47" ht="24.75" customHeight="1">
      <c r="A6" s="2402" t="s">
        <v>1342</v>
      </c>
      <c r="B6" s="2402"/>
      <c r="C6" s="2402"/>
      <c r="D6" s="2402"/>
      <c r="E6" s="2402"/>
      <c r="F6" s="2402"/>
      <c r="G6" s="2402"/>
      <c r="H6" s="2402"/>
      <c r="I6" s="2407" t="s">
        <v>1345</v>
      </c>
      <c r="J6" s="2407"/>
      <c r="K6" s="2407"/>
      <c r="L6" s="2407"/>
      <c r="M6" s="2403">
        <f>'Rents '!D125</f>
        <v>0</v>
      </c>
      <c r="N6" s="2403"/>
      <c r="O6" s="2406" t="s">
        <v>1339</v>
      </c>
      <c r="P6" s="2406"/>
      <c r="Q6" s="2406"/>
      <c r="R6" s="2406"/>
      <c r="S6" s="2406"/>
      <c r="T6" s="2406"/>
      <c r="U6" s="2406"/>
      <c r="V6" s="2406"/>
      <c r="W6" s="2406"/>
      <c r="X6" s="2406"/>
      <c r="Y6" s="2406"/>
      <c r="Z6" s="2406"/>
      <c r="AA6" s="2393">
        <v>2019</v>
      </c>
      <c r="AB6" s="2393"/>
      <c r="AC6" s="2404" t="s">
        <v>401</v>
      </c>
      <c r="AD6" s="2404"/>
      <c r="AE6" s="2405" t="s">
        <v>1343</v>
      </c>
      <c r="AF6" s="2405"/>
      <c r="AG6" s="2405"/>
      <c r="AH6" s="2405" t="s">
        <v>1344</v>
      </c>
      <c r="AI6" s="2405"/>
      <c r="AJ6" s="2405"/>
      <c r="AK6" s="2405"/>
      <c r="AL6" s="2405"/>
      <c r="AQ6" s="874">
        <f>+AQ5+1</f>
        <v>2020</v>
      </c>
      <c r="AR6" s="876">
        <f t="shared" si="0"/>
        <v>4394</v>
      </c>
      <c r="AS6" s="876">
        <f t="shared" si="1"/>
        <v>3295</v>
      </c>
      <c r="AT6" s="876">
        <f t="shared" si="2"/>
        <v>1132</v>
      </c>
      <c r="AU6" s="876">
        <f t="shared" si="3"/>
        <v>269</v>
      </c>
    </row>
    <row r="7" spans="1:47" ht="50.25" customHeight="1">
      <c r="A7" s="2408" t="s">
        <v>1346</v>
      </c>
      <c r="B7" s="2409"/>
      <c r="C7" s="2409"/>
      <c r="D7" s="2409"/>
      <c r="E7" s="2409"/>
      <c r="F7" s="2409"/>
      <c r="G7" s="2409"/>
      <c r="H7" s="2409"/>
      <c r="I7" s="2409"/>
      <c r="J7" s="2409"/>
      <c r="K7" s="2409"/>
      <c r="L7" s="2409"/>
      <c r="M7" s="2409"/>
      <c r="N7" s="2409"/>
      <c r="O7" s="2409"/>
      <c r="P7" s="2409"/>
      <c r="Q7" s="2409"/>
      <c r="R7" s="2409"/>
      <c r="S7" s="2409"/>
      <c r="T7" s="2409"/>
      <c r="U7" s="2409"/>
      <c r="V7" s="2409"/>
      <c r="W7" s="2409"/>
      <c r="X7" s="2409"/>
      <c r="Y7" s="2409"/>
      <c r="Z7" s="2409"/>
      <c r="AA7" s="2409"/>
      <c r="AB7" s="2409"/>
      <c r="AC7" s="2410"/>
      <c r="AD7" s="2410"/>
      <c r="AE7" s="2413">
        <f>IFERROR(VLOOKUP($AA$6,$AQ$3:$AU$61,2,FALSE),"")</f>
        <v>4287</v>
      </c>
      <c r="AF7" s="2413"/>
      <c r="AG7" s="2413"/>
      <c r="AH7" s="2418">
        <f>IFERROR(AE7*AC7,"")</f>
        <v>0</v>
      </c>
      <c r="AI7" s="2418"/>
      <c r="AJ7" s="2418"/>
      <c r="AK7" s="2418"/>
      <c r="AL7" s="2418"/>
      <c r="AQ7" s="874">
        <f t="shared" ref="AQ7:AQ12" si="4">+AQ6+1</f>
        <v>2021</v>
      </c>
      <c r="AR7" s="876">
        <f t="shared" si="0"/>
        <v>4504</v>
      </c>
      <c r="AS7" s="876">
        <f t="shared" si="1"/>
        <v>3377</v>
      </c>
      <c r="AT7" s="876">
        <f t="shared" si="2"/>
        <v>1160</v>
      </c>
      <c r="AU7" s="876">
        <f t="shared" si="3"/>
        <v>276</v>
      </c>
    </row>
    <row r="8" spans="1:47" ht="50.25" customHeight="1">
      <c r="A8" s="2419" t="s">
        <v>1381</v>
      </c>
      <c r="B8" s="2419"/>
      <c r="C8" s="2419"/>
      <c r="D8" s="2419"/>
      <c r="E8" s="2419"/>
      <c r="F8" s="2419"/>
      <c r="G8" s="2419"/>
      <c r="H8" s="2419"/>
      <c r="I8" s="2419"/>
      <c r="J8" s="2419"/>
      <c r="K8" s="2419"/>
      <c r="L8" s="2419"/>
      <c r="M8" s="2419"/>
      <c r="N8" s="2419"/>
      <c r="O8" s="2419"/>
      <c r="P8" s="2419"/>
      <c r="Q8" s="2419"/>
      <c r="R8" s="2419"/>
      <c r="S8" s="2419"/>
      <c r="T8" s="2419"/>
      <c r="U8" s="2419"/>
      <c r="V8" s="2419"/>
      <c r="W8" s="2419"/>
      <c r="X8" s="2419"/>
      <c r="Y8" s="2419"/>
      <c r="Z8" s="2419"/>
      <c r="AA8" s="2419"/>
      <c r="AB8" s="2419"/>
      <c r="AC8" s="2410"/>
      <c r="AD8" s="2410"/>
      <c r="AE8" s="2413">
        <f>IFERROR(VLOOKUP($AA$6,$AQ$3:$AU$61,3,FALSE),"")</f>
        <v>3215</v>
      </c>
      <c r="AF8" s="2413"/>
      <c r="AG8" s="2413"/>
      <c r="AH8" s="2418">
        <f>IFERROR(AE8*AC8,"")</f>
        <v>0</v>
      </c>
      <c r="AI8" s="2418"/>
      <c r="AJ8" s="2418"/>
      <c r="AK8" s="2418"/>
      <c r="AL8" s="2418"/>
      <c r="AQ8" s="874">
        <f t="shared" si="4"/>
        <v>2022</v>
      </c>
      <c r="AR8" s="876">
        <f t="shared" si="0"/>
        <v>4617</v>
      </c>
      <c r="AS8" s="876">
        <f t="shared" si="1"/>
        <v>3461</v>
      </c>
      <c r="AT8" s="876">
        <f t="shared" si="2"/>
        <v>1189</v>
      </c>
      <c r="AU8" s="876">
        <f t="shared" si="3"/>
        <v>283</v>
      </c>
    </row>
    <row r="9" spans="1:47" ht="50.25" customHeight="1">
      <c r="A9" s="2408" t="s">
        <v>1380</v>
      </c>
      <c r="B9" s="2409"/>
      <c r="C9" s="2409"/>
      <c r="D9" s="2409"/>
      <c r="E9" s="2409"/>
      <c r="F9" s="2409"/>
      <c r="G9" s="2409"/>
      <c r="H9" s="2409"/>
      <c r="I9" s="2409"/>
      <c r="J9" s="2409"/>
      <c r="K9" s="2409"/>
      <c r="L9" s="2409"/>
      <c r="M9" s="2409"/>
      <c r="N9" s="2409"/>
      <c r="O9" s="2409"/>
      <c r="P9" s="2409"/>
      <c r="Q9" s="2409"/>
      <c r="R9" s="2409"/>
      <c r="S9" s="2409"/>
      <c r="T9" s="2409"/>
      <c r="U9" s="2409"/>
      <c r="V9" s="2409"/>
      <c r="W9" s="2409"/>
      <c r="X9" s="2409"/>
      <c r="Y9" s="2409"/>
      <c r="Z9" s="2409"/>
      <c r="AA9" s="2409"/>
      <c r="AB9" s="2409"/>
      <c r="AC9" s="2410"/>
      <c r="AD9" s="2410"/>
      <c r="AE9" s="2413">
        <f>IFERROR(VLOOKUP($AA$6,$AQ$3:$AU$61,4,FALSE),"")</f>
        <v>1104</v>
      </c>
      <c r="AF9" s="2413"/>
      <c r="AG9" s="2413"/>
      <c r="AH9" s="2418">
        <f>IFERROR(AE9*AC9,"")</f>
        <v>0</v>
      </c>
      <c r="AI9" s="2418"/>
      <c r="AJ9" s="2418"/>
      <c r="AK9" s="2418"/>
      <c r="AL9" s="2418"/>
      <c r="AQ9" s="874">
        <f t="shared" si="4"/>
        <v>2023</v>
      </c>
      <c r="AR9" s="876">
        <f t="shared" si="0"/>
        <v>4732</v>
      </c>
      <c r="AS9" s="876">
        <f t="shared" si="1"/>
        <v>3548</v>
      </c>
      <c r="AT9" s="876">
        <f t="shared" si="2"/>
        <v>1219</v>
      </c>
      <c r="AU9" s="876">
        <f t="shared" si="3"/>
        <v>290</v>
      </c>
    </row>
    <row r="10" spans="1:47" ht="50.25" customHeight="1">
      <c r="A10" s="2408" t="s">
        <v>1382</v>
      </c>
      <c r="B10" s="2409"/>
      <c r="C10" s="2409"/>
      <c r="D10" s="2409"/>
      <c r="E10" s="2409"/>
      <c r="F10" s="2409"/>
      <c r="G10" s="2409"/>
      <c r="H10" s="2409"/>
      <c r="I10" s="2409"/>
      <c r="J10" s="2409"/>
      <c r="K10" s="2409"/>
      <c r="L10" s="2409"/>
      <c r="M10" s="2409"/>
      <c r="N10" s="2409"/>
      <c r="O10" s="2409"/>
      <c r="P10" s="2409"/>
      <c r="Q10" s="2409"/>
      <c r="R10" s="2409"/>
      <c r="S10" s="2409"/>
      <c r="T10" s="2409"/>
      <c r="U10" s="2409"/>
      <c r="V10" s="2409"/>
      <c r="W10" s="2409"/>
      <c r="X10" s="2409"/>
      <c r="Y10" s="2409"/>
      <c r="Z10" s="2409"/>
      <c r="AA10" s="2409"/>
      <c r="AB10" s="2409"/>
      <c r="AC10" s="2410"/>
      <c r="AD10" s="2410"/>
      <c r="AE10" s="2413">
        <f>IFERROR(VLOOKUP($AA$6,$AQ$3:$AU$61,5,FALSE),"")</f>
        <v>262</v>
      </c>
      <c r="AF10" s="2413"/>
      <c r="AG10" s="2413"/>
      <c r="AH10" s="2418">
        <f>IFERROR(AE10*AC10,"")</f>
        <v>0</v>
      </c>
      <c r="AI10" s="2418"/>
      <c r="AJ10" s="2418"/>
      <c r="AK10" s="2418"/>
      <c r="AL10" s="2418"/>
      <c r="AQ10" s="874">
        <f t="shared" si="4"/>
        <v>2024</v>
      </c>
      <c r="AR10" s="876">
        <f t="shared" si="0"/>
        <v>4850</v>
      </c>
      <c r="AS10" s="876">
        <f t="shared" si="1"/>
        <v>3637</v>
      </c>
      <c r="AT10" s="876">
        <f t="shared" si="2"/>
        <v>1249</v>
      </c>
      <c r="AU10" s="876">
        <f t="shared" si="3"/>
        <v>297</v>
      </c>
    </row>
    <row r="11" spans="1:47" ht="15" customHeight="1">
      <c r="A11" s="2414" t="s">
        <v>1341</v>
      </c>
      <c r="B11" s="2414"/>
      <c r="C11" s="2414"/>
      <c r="D11" s="2414"/>
      <c r="E11" s="2414"/>
      <c r="F11" s="2414"/>
      <c r="G11" s="2414"/>
      <c r="H11" s="2414"/>
      <c r="I11" s="2414"/>
      <c r="J11" s="2414"/>
      <c r="K11" s="2414"/>
      <c r="L11" s="2414"/>
      <c r="M11" s="2414"/>
      <c r="N11" s="2414"/>
      <c r="O11" s="2414"/>
      <c r="P11" s="2414"/>
      <c r="Q11" s="2414"/>
      <c r="R11" s="2414"/>
      <c r="S11" s="2414"/>
      <c r="T11" s="2414"/>
      <c r="U11" s="2414"/>
      <c r="V11" s="2414"/>
      <c r="W11" s="2414"/>
      <c r="X11" s="2414"/>
      <c r="Y11" s="2414"/>
      <c r="Z11" s="2414"/>
      <c r="AA11" s="2414"/>
      <c r="AB11" s="2414"/>
      <c r="AC11" s="2411">
        <f>SUM(AC7:AD10)</f>
        <v>0</v>
      </c>
      <c r="AD11" s="2412"/>
      <c r="AE11" s="2415"/>
      <c r="AF11" s="2416"/>
      <c r="AG11" s="2417"/>
      <c r="AH11" s="2413">
        <f>SUM(AH7:AL10)</f>
        <v>0</v>
      </c>
      <c r="AI11" s="2413"/>
      <c r="AJ11" s="2413"/>
      <c r="AK11" s="2413"/>
      <c r="AL11" s="2413"/>
      <c r="AQ11" s="874">
        <f t="shared" si="4"/>
        <v>2025</v>
      </c>
      <c r="AR11" s="876">
        <f t="shared" si="0"/>
        <v>4971</v>
      </c>
      <c r="AS11" s="876">
        <f t="shared" si="1"/>
        <v>3728</v>
      </c>
      <c r="AT11" s="876">
        <f t="shared" si="2"/>
        <v>1280</v>
      </c>
      <c r="AU11" s="876">
        <f t="shared" si="3"/>
        <v>304</v>
      </c>
    </row>
    <row r="12" spans="1:47" ht="12.75" customHeight="1">
      <c r="E12" s="878"/>
      <c r="F12" s="878"/>
      <c r="G12" s="878"/>
      <c r="H12" s="878"/>
      <c r="AQ12" s="874">
        <f t="shared" si="4"/>
        <v>2026</v>
      </c>
      <c r="AR12" s="876">
        <f t="shared" si="0"/>
        <v>5095</v>
      </c>
      <c r="AS12" s="876">
        <f t="shared" si="1"/>
        <v>3821</v>
      </c>
      <c r="AT12" s="876">
        <f t="shared" si="2"/>
        <v>1312</v>
      </c>
      <c r="AU12" s="876">
        <f t="shared" si="3"/>
        <v>312</v>
      </c>
    </row>
    <row r="13" spans="1:47" ht="12.75" customHeight="1">
      <c r="A13" s="861"/>
      <c r="B13" s="861"/>
      <c r="C13" s="861"/>
      <c r="E13" s="861"/>
      <c r="F13" s="861"/>
      <c r="G13" s="861"/>
      <c r="H13" s="861"/>
      <c r="I13" s="860"/>
      <c r="J13" s="862"/>
      <c r="AQ13" s="874"/>
      <c r="AR13" s="876"/>
      <c r="AS13" s="876"/>
      <c r="AT13" s="876"/>
      <c r="AU13" s="876"/>
    </row>
    <row r="14" spans="1:47">
      <c r="AQ14" s="874"/>
      <c r="AR14" s="876"/>
      <c r="AS14" s="876"/>
      <c r="AT14" s="876"/>
      <c r="AU14" s="876"/>
    </row>
    <row r="15" spans="1:47">
      <c r="AQ15" s="874"/>
      <c r="AR15" s="876"/>
      <c r="AS15" s="876"/>
      <c r="AT15" s="876"/>
      <c r="AU15" s="876"/>
    </row>
    <row r="16" spans="1:47">
      <c r="AQ16" s="874"/>
      <c r="AR16" s="876"/>
      <c r="AS16" s="876"/>
      <c r="AT16" s="876"/>
      <c r="AU16" s="876"/>
    </row>
    <row r="17" spans="43:47">
      <c r="AQ17" s="874"/>
      <c r="AR17" s="876"/>
      <c r="AS17" s="876"/>
      <c r="AT17" s="876"/>
      <c r="AU17" s="876"/>
    </row>
    <row r="18" spans="43:47">
      <c r="AQ18" s="874"/>
      <c r="AR18" s="876"/>
      <c r="AS18" s="876"/>
      <c r="AT18" s="876"/>
      <c r="AU18" s="876"/>
    </row>
    <row r="19" spans="43:47">
      <c r="AQ19" s="874"/>
      <c r="AR19" s="876"/>
      <c r="AS19" s="876"/>
      <c r="AT19" s="876"/>
      <c r="AU19" s="876"/>
    </row>
    <row r="20" spans="43:47">
      <c r="AQ20" s="874"/>
      <c r="AR20" s="876"/>
      <c r="AS20" s="876"/>
      <c r="AT20" s="876"/>
      <c r="AU20" s="876"/>
    </row>
    <row r="21" spans="43:47">
      <c r="AQ21" s="874"/>
      <c r="AR21" s="876"/>
      <c r="AS21" s="876"/>
      <c r="AT21" s="876"/>
      <c r="AU21" s="876"/>
    </row>
    <row r="22" spans="43:47">
      <c r="AQ22" s="874"/>
      <c r="AR22" s="876"/>
      <c r="AS22" s="876"/>
      <c r="AT22" s="876"/>
      <c r="AU22" s="876"/>
    </row>
    <row r="23" spans="43:47">
      <c r="AQ23" s="874"/>
      <c r="AR23" s="876"/>
      <c r="AS23" s="876"/>
      <c r="AT23" s="876"/>
      <c r="AU23" s="876"/>
    </row>
    <row r="24" spans="43:47">
      <c r="AQ24" s="874"/>
      <c r="AR24" s="876"/>
      <c r="AS24" s="876"/>
      <c r="AT24" s="876"/>
      <c r="AU24" s="876"/>
    </row>
    <row r="25" spans="43:47">
      <c r="AQ25" s="874"/>
      <c r="AR25" s="876"/>
      <c r="AS25" s="876"/>
      <c r="AT25" s="876"/>
      <c r="AU25" s="876"/>
    </row>
    <row r="26" spans="43:47">
      <c r="AQ26" s="874"/>
      <c r="AR26" s="876"/>
      <c r="AS26" s="876"/>
      <c r="AT26" s="876"/>
      <c r="AU26" s="876"/>
    </row>
    <row r="27" spans="43:47">
      <c r="AQ27" s="874"/>
      <c r="AR27" s="876"/>
      <c r="AS27" s="876"/>
      <c r="AT27" s="876"/>
      <c r="AU27" s="876"/>
    </row>
    <row r="28" spans="43:47">
      <c r="AQ28" s="874"/>
      <c r="AR28" s="876"/>
      <c r="AS28" s="876"/>
      <c r="AT28" s="876"/>
      <c r="AU28" s="876"/>
    </row>
    <row r="29" spans="43:47">
      <c r="AQ29" s="874"/>
      <c r="AR29" s="876"/>
      <c r="AS29" s="876"/>
      <c r="AT29" s="876"/>
      <c r="AU29" s="876"/>
    </row>
    <row r="30" spans="43:47">
      <c r="AQ30" s="874"/>
      <c r="AR30" s="876"/>
      <c r="AS30" s="876"/>
      <c r="AT30" s="876"/>
      <c r="AU30" s="876"/>
    </row>
    <row r="31" spans="43:47">
      <c r="AQ31" s="874"/>
      <c r="AR31" s="876"/>
      <c r="AS31" s="876"/>
      <c r="AT31" s="876"/>
      <c r="AU31" s="876"/>
    </row>
    <row r="32" spans="43:47">
      <c r="AQ32" s="874"/>
      <c r="AR32" s="876"/>
      <c r="AS32" s="876"/>
      <c r="AT32" s="876"/>
      <c r="AU32" s="876"/>
    </row>
    <row r="33" spans="43:47">
      <c r="AQ33" s="874"/>
      <c r="AR33" s="876"/>
      <c r="AS33" s="876"/>
      <c r="AT33" s="876"/>
      <c r="AU33" s="876"/>
    </row>
    <row r="34" spans="43:47">
      <c r="AQ34" s="874"/>
      <c r="AR34" s="876"/>
      <c r="AS34" s="876"/>
      <c r="AT34" s="876"/>
      <c r="AU34" s="876"/>
    </row>
    <row r="35" spans="43:47">
      <c r="AQ35" s="874"/>
      <c r="AR35" s="876"/>
      <c r="AS35" s="876"/>
      <c r="AT35" s="876"/>
      <c r="AU35" s="876"/>
    </row>
    <row r="36" spans="43:47">
      <c r="AQ36" s="874"/>
      <c r="AR36" s="876"/>
      <c r="AS36" s="876"/>
      <c r="AT36" s="876"/>
      <c r="AU36" s="876"/>
    </row>
    <row r="37" spans="43:47">
      <c r="AQ37" s="874"/>
      <c r="AR37" s="876"/>
      <c r="AS37" s="876"/>
      <c r="AT37" s="876"/>
      <c r="AU37" s="876"/>
    </row>
    <row r="38" spans="43:47">
      <c r="AQ38" s="874"/>
      <c r="AR38" s="876"/>
      <c r="AS38" s="876"/>
      <c r="AT38" s="876"/>
      <c r="AU38" s="876"/>
    </row>
    <row r="39" spans="43:47">
      <c r="AQ39" s="874"/>
      <c r="AR39" s="876"/>
      <c r="AS39" s="876"/>
      <c r="AT39" s="876"/>
      <c r="AU39" s="876"/>
    </row>
    <row r="40" spans="43:47">
      <c r="AQ40" s="874"/>
      <c r="AR40" s="876"/>
      <c r="AS40" s="876"/>
      <c r="AT40" s="876"/>
      <c r="AU40" s="876"/>
    </row>
    <row r="41" spans="43:47">
      <c r="AQ41" s="874"/>
      <c r="AR41" s="876"/>
      <c r="AS41" s="876"/>
      <c r="AT41" s="876"/>
      <c r="AU41" s="876"/>
    </row>
    <row r="42" spans="43:47">
      <c r="AQ42" s="874"/>
      <c r="AR42" s="876"/>
      <c r="AS42" s="876"/>
      <c r="AT42" s="876"/>
      <c r="AU42" s="876"/>
    </row>
    <row r="43" spans="43:47">
      <c r="AQ43" s="874"/>
      <c r="AR43" s="876"/>
      <c r="AS43" s="876"/>
      <c r="AT43" s="876"/>
      <c r="AU43" s="876"/>
    </row>
    <row r="44" spans="43:47">
      <c r="AQ44" s="874"/>
      <c r="AR44" s="876"/>
      <c r="AS44" s="876"/>
      <c r="AT44" s="876"/>
      <c r="AU44" s="876"/>
    </row>
    <row r="45" spans="43:47">
      <c r="AQ45" s="874"/>
      <c r="AR45" s="876"/>
      <c r="AS45" s="876"/>
      <c r="AT45" s="876"/>
      <c r="AU45" s="876"/>
    </row>
    <row r="46" spans="43:47">
      <c r="AQ46" s="874"/>
      <c r="AR46" s="876"/>
      <c r="AS46" s="876"/>
      <c r="AT46" s="876"/>
      <c r="AU46" s="876"/>
    </row>
    <row r="47" spans="43:47">
      <c r="AQ47" s="874"/>
      <c r="AR47" s="876"/>
      <c r="AS47" s="876"/>
      <c r="AT47" s="876"/>
      <c r="AU47" s="876"/>
    </row>
    <row r="48" spans="43:47">
      <c r="AQ48" s="874"/>
      <c r="AR48" s="876"/>
      <c r="AS48" s="876"/>
      <c r="AT48" s="876"/>
      <c r="AU48" s="876"/>
    </row>
    <row r="49" spans="43:47">
      <c r="AQ49" s="874"/>
      <c r="AR49" s="876"/>
      <c r="AS49" s="876"/>
      <c r="AT49" s="876"/>
      <c r="AU49" s="876"/>
    </row>
    <row r="50" spans="43:47">
      <c r="AQ50" s="874"/>
      <c r="AR50" s="876"/>
      <c r="AS50" s="876"/>
      <c r="AT50" s="876"/>
      <c r="AU50" s="876"/>
    </row>
    <row r="51" spans="43:47">
      <c r="AQ51" s="874"/>
      <c r="AR51" s="876"/>
      <c r="AS51" s="876"/>
      <c r="AT51" s="876"/>
      <c r="AU51" s="876"/>
    </row>
    <row r="52" spans="43:47">
      <c r="AQ52" s="874"/>
      <c r="AR52" s="876"/>
      <c r="AS52" s="876"/>
      <c r="AT52" s="876"/>
      <c r="AU52" s="876"/>
    </row>
    <row r="53" spans="43:47">
      <c r="AQ53" s="874"/>
      <c r="AR53" s="876"/>
      <c r="AS53" s="876"/>
      <c r="AT53" s="876"/>
      <c r="AU53" s="876"/>
    </row>
    <row r="54" spans="43:47">
      <c r="AQ54" s="874"/>
      <c r="AR54" s="876"/>
      <c r="AS54" s="876"/>
      <c r="AT54" s="876"/>
      <c r="AU54" s="876"/>
    </row>
    <row r="55" spans="43:47">
      <c r="AQ55" s="874"/>
      <c r="AR55" s="876"/>
      <c r="AS55" s="876"/>
      <c r="AT55" s="876"/>
      <c r="AU55" s="876"/>
    </row>
    <row r="56" spans="43:47">
      <c r="AQ56" s="874"/>
      <c r="AR56" s="876"/>
      <c r="AS56" s="876"/>
      <c r="AT56" s="876"/>
      <c r="AU56" s="876"/>
    </row>
    <row r="57" spans="43:47">
      <c r="AQ57" s="874"/>
      <c r="AR57" s="876"/>
      <c r="AS57" s="876"/>
      <c r="AT57" s="876"/>
      <c r="AU57" s="876"/>
    </row>
    <row r="58" spans="43:47">
      <c r="AQ58" s="874"/>
      <c r="AR58" s="876"/>
      <c r="AS58" s="876"/>
      <c r="AT58" s="876"/>
      <c r="AU58" s="876"/>
    </row>
    <row r="59" spans="43:47">
      <c r="AQ59" s="874"/>
      <c r="AR59" s="876"/>
      <c r="AS59" s="876"/>
      <c r="AT59" s="876"/>
      <c r="AU59" s="876"/>
    </row>
    <row r="60" spans="43:47">
      <c r="AQ60" s="874"/>
      <c r="AR60" s="876"/>
      <c r="AS60" s="876"/>
      <c r="AT60" s="876"/>
      <c r="AU60" s="876"/>
    </row>
    <row r="61" spans="43:47">
      <c r="AQ61" s="874"/>
      <c r="AR61" s="876"/>
      <c r="AS61" s="876"/>
      <c r="AT61" s="876"/>
      <c r="AU61" s="876"/>
    </row>
  </sheetData>
  <sheetProtection password="CC32" sheet="1" objects="1" scenarios="1"/>
  <mergeCells count="32">
    <mergeCell ref="AC11:AD11"/>
    <mergeCell ref="AH11:AL11"/>
    <mergeCell ref="A11:AB11"/>
    <mergeCell ref="AE11:AG11"/>
    <mergeCell ref="AH6:AL6"/>
    <mergeCell ref="AH7:AL7"/>
    <mergeCell ref="AH9:AL9"/>
    <mergeCell ref="AH10:AL10"/>
    <mergeCell ref="AE10:AG10"/>
    <mergeCell ref="AH8:AL8"/>
    <mergeCell ref="AE9:AG9"/>
    <mergeCell ref="AE8:AG8"/>
    <mergeCell ref="AE7:AG7"/>
    <mergeCell ref="A7:AB7"/>
    <mergeCell ref="A8:AB8"/>
    <mergeCell ref="A9:AB9"/>
    <mergeCell ref="A10:AB10"/>
    <mergeCell ref="AC7:AD7"/>
    <mergeCell ref="AC8:AD8"/>
    <mergeCell ref="AC9:AD9"/>
    <mergeCell ref="AC10:AD10"/>
    <mergeCell ref="AA6:AB6"/>
    <mergeCell ref="A1:AL1"/>
    <mergeCell ref="A3:AL3"/>
    <mergeCell ref="A4:AL4"/>
    <mergeCell ref="A2:AL2"/>
    <mergeCell ref="A6:H6"/>
    <mergeCell ref="M6:N6"/>
    <mergeCell ref="AC6:AD6"/>
    <mergeCell ref="AE6:AG6"/>
    <mergeCell ref="O6:Z6"/>
    <mergeCell ref="I6:L6"/>
  </mergeCells>
  <conditionalFormatting sqref="AC11:AD11">
    <cfRule type="cellIs" dxfId="43" priority="5" stopIfTrue="1" operator="greaterThan">
      <formula>$M$6</formula>
    </cfRule>
  </conditionalFormatting>
  <hyperlinks>
    <hyperlink ref="A8:G8" r:id="rId1" display="UMR  §8314(e)(2):  Enter the total number of units restricted to occupancy by Special Needs Populations under any Department programs (“Special Needs Population” is defined in  §7301(s) of the Multifamily Housing Program (MHP) Regulations."/>
  </hyperlinks>
  <printOptions horizontalCentered="1"/>
  <pageMargins left="0.5" right="0" top="0.5" bottom="0.3" header="0" footer="0"/>
  <pageSetup scale="64" orientation="portrait" r:id="rId2"/>
  <headerFooter scaleWithDoc="0" alignWithMargins="0">
    <oddFooter>&amp;C&amp;9Page &amp;P of &amp;N&amp;R&amp;"Arial,Italic"&amp;9Universal Application - &amp;A</oddFooter>
  </headerFooter>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G136"/>
  <sheetViews>
    <sheetView showGridLines="0" zoomScaleNormal="100" zoomScaleSheetLayoutView="100" workbookViewId="0">
      <selection activeCell="A6" sqref="A6"/>
    </sheetView>
  </sheetViews>
  <sheetFormatPr defaultColWidth="9.140625" defaultRowHeight="12.75"/>
  <cols>
    <col min="1" max="2" width="5.85546875" customWidth="1"/>
    <col min="3" max="3" width="46.140625" customWidth="1"/>
    <col min="4" max="4" width="17.5703125" customWidth="1"/>
    <col min="5" max="5" width="21" customWidth="1"/>
    <col min="6" max="6" width="10.7109375" hidden="1" customWidth="1"/>
    <col min="7" max="7" width="15.28515625" style="82" hidden="1" customWidth="1"/>
  </cols>
  <sheetData>
    <row r="1" spans="1:7" ht="13.5" customHeight="1">
      <c r="A1" s="2060">
        <f>'General '!A45</f>
        <v>0</v>
      </c>
      <c r="B1" s="2061"/>
      <c r="C1" s="2061"/>
      <c r="D1" s="2061"/>
      <c r="E1" s="2062"/>
    </row>
    <row r="2" spans="1:7" ht="14.25" customHeight="1">
      <c r="A2" s="2453" t="s">
        <v>44</v>
      </c>
      <c r="B2" s="2454"/>
      <c r="C2" s="2454"/>
      <c r="D2" s="2454"/>
      <c r="E2" s="2455"/>
    </row>
    <row r="3" spans="1:7" ht="3" customHeight="1" thickBot="1">
      <c r="A3" s="377"/>
      <c r="B3" s="67"/>
      <c r="C3" s="67"/>
      <c r="D3" s="67"/>
      <c r="E3" s="378"/>
    </row>
    <row r="4" spans="1:7" ht="15.75" customHeight="1" thickBot="1">
      <c r="A4" s="2445" t="s">
        <v>1049</v>
      </c>
      <c r="B4" s="2456"/>
      <c r="C4" s="2456"/>
      <c r="D4" s="2456"/>
      <c r="E4" s="2457"/>
      <c r="F4" s="69"/>
      <c r="G4" s="1017"/>
    </row>
    <row r="5" spans="1:7" ht="15.75" customHeight="1" thickBot="1">
      <c r="A5" s="379" t="s">
        <v>788</v>
      </c>
      <c r="B5" s="380" t="s">
        <v>829</v>
      </c>
      <c r="C5" s="381" t="s">
        <v>361</v>
      </c>
      <c r="D5" s="382" t="s">
        <v>830</v>
      </c>
      <c r="E5" s="383" t="s">
        <v>831</v>
      </c>
      <c r="F5" s="927"/>
      <c r="G5" s="1023"/>
    </row>
    <row r="6" spans="1:7" ht="15.75" customHeight="1">
      <c r="A6" s="448"/>
      <c r="B6" s="449"/>
      <c r="C6" s="384" t="s">
        <v>342</v>
      </c>
      <c r="D6" s="825">
        <v>0</v>
      </c>
      <c r="E6" s="827">
        <v>0</v>
      </c>
    </row>
    <row r="7" spans="1:7" ht="15.75" customHeight="1">
      <c r="A7" s="448"/>
      <c r="B7" s="449"/>
      <c r="C7" s="823" t="s">
        <v>343</v>
      </c>
      <c r="D7" s="454">
        <v>0</v>
      </c>
      <c r="E7" s="822">
        <v>0</v>
      </c>
    </row>
    <row r="8" spans="1:7" ht="15.75" customHeight="1">
      <c r="A8" s="448"/>
      <c r="B8" s="449"/>
      <c r="C8" s="823" t="s">
        <v>1052</v>
      </c>
      <c r="D8" s="931">
        <v>0</v>
      </c>
      <c r="E8" s="826"/>
      <c r="F8" s="928"/>
    </row>
    <row r="9" spans="1:7" ht="15.75" customHeight="1">
      <c r="A9" s="448"/>
      <c r="B9" s="449"/>
      <c r="C9" s="932" t="s">
        <v>1376</v>
      </c>
      <c r="D9" s="931">
        <v>0</v>
      </c>
      <c r="E9" s="826"/>
    </row>
    <row r="10" spans="1:7" ht="15.75" customHeight="1">
      <c r="A10" s="448"/>
      <c r="B10" s="449"/>
      <c r="C10" s="823" t="s">
        <v>1053</v>
      </c>
      <c r="D10" s="931">
        <v>0</v>
      </c>
      <c r="E10" s="826"/>
    </row>
    <row r="11" spans="1:7" ht="15.75" customHeight="1">
      <c r="A11" s="448"/>
      <c r="B11" s="449"/>
      <c r="C11" s="384" t="s">
        <v>344</v>
      </c>
      <c r="D11" s="455">
        <v>0</v>
      </c>
      <c r="E11" s="456">
        <v>0</v>
      </c>
    </row>
    <row r="12" spans="1:7" ht="15.75" customHeight="1">
      <c r="A12" s="448"/>
      <c r="B12" s="449"/>
      <c r="C12" s="384" t="s">
        <v>297</v>
      </c>
      <c r="D12" s="455">
        <v>0</v>
      </c>
      <c r="E12" s="456">
        <v>0</v>
      </c>
    </row>
    <row r="13" spans="1:7" ht="15.75" customHeight="1">
      <c r="A13" s="448"/>
      <c r="B13" s="449"/>
      <c r="C13" s="384" t="s">
        <v>345</v>
      </c>
      <c r="D13" s="455">
        <v>0</v>
      </c>
      <c r="E13" s="456">
        <v>0</v>
      </c>
    </row>
    <row r="14" spans="1:7" ht="15.75" customHeight="1">
      <c r="A14" s="448"/>
      <c r="B14" s="449"/>
      <c r="C14" s="452"/>
      <c r="D14" s="455">
        <v>0</v>
      </c>
      <c r="E14" s="456">
        <v>0</v>
      </c>
    </row>
    <row r="15" spans="1:7" ht="15.75" customHeight="1" thickBot="1">
      <c r="A15" s="450"/>
      <c r="B15" s="451"/>
      <c r="C15" s="453"/>
      <c r="D15" s="455">
        <v>0</v>
      </c>
      <c r="E15" s="457">
        <v>0</v>
      </c>
    </row>
    <row r="16" spans="1:7" ht="15.75" customHeight="1" thickBot="1">
      <c r="A16" s="385"/>
      <c r="B16" s="386"/>
      <c r="C16" s="387" t="s">
        <v>300</v>
      </c>
      <c r="D16" s="479">
        <f>SUM(D6:D15)</f>
        <v>0</v>
      </c>
      <c r="E16" s="479">
        <f>SUM(E6:E15)</f>
        <v>0</v>
      </c>
    </row>
    <row r="17" spans="1:7" ht="15.75" customHeight="1">
      <c r="A17" s="388"/>
      <c r="B17" s="389">
        <v>6711</v>
      </c>
      <c r="C17" s="390" t="s">
        <v>832</v>
      </c>
      <c r="D17" s="458">
        <v>0</v>
      </c>
      <c r="E17" s="391" t="s">
        <v>168</v>
      </c>
    </row>
    <row r="18" spans="1:7" ht="15.75" customHeight="1">
      <c r="A18" s="392"/>
      <c r="B18" s="393">
        <v>6722</v>
      </c>
      <c r="C18" s="394" t="s">
        <v>833</v>
      </c>
      <c r="D18" s="458">
        <v>0</v>
      </c>
      <c r="E18" s="395" t="s">
        <v>167</v>
      </c>
      <c r="G18" s="1024" t="s">
        <v>166</v>
      </c>
    </row>
    <row r="19" spans="1:7" ht="15.75" customHeight="1" thickBot="1">
      <c r="A19" s="396"/>
      <c r="B19" s="397">
        <v>6723</v>
      </c>
      <c r="C19" s="398" t="s">
        <v>834</v>
      </c>
      <c r="D19" s="459">
        <v>0</v>
      </c>
      <c r="E19" s="546"/>
      <c r="G19" s="1024" t="s">
        <v>167</v>
      </c>
    </row>
    <row r="20" spans="1:7" ht="15.75" customHeight="1" thickBot="1">
      <c r="A20" s="385"/>
      <c r="B20" s="386"/>
      <c r="C20" s="387" t="s">
        <v>1051</v>
      </c>
      <c r="D20" s="376">
        <f>SUM(D17:D19)</f>
        <v>0</v>
      </c>
      <c r="E20" s="546"/>
      <c r="G20" s="1025">
        <v>1</v>
      </c>
    </row>
    <row r="21" spans="1:7" ht="15.75" customHeight="1" thickBot="1">
      <c r="A21" s="385"/>
      <c r="B21" s="399"/>
      <c r="C21" s="387" t="s">
        <v>1050</v>
      </c>
      <c r="D21" s="376">
        <f>D20+D16</f>
        <v>0</v>
      </c>
      <c r="E21" s="400"/>
    </row>
    <row r="22" spans="1:7" ht="6" customHeight="1" thickBot="1">
      <c r="A22" s="401"/>
      <c r="B22" s="67"/>
      <c r="C22" s="402"/>
      <c r="D22" s="403"/>
      <c r="E22" s="404"/>
    </row>
    <row r="23" spans="1:7" ht="13.5" hidden="1" thickBot="1">
      <c r="A23" s="10"/>
      <c r="E23" s="11"/>
    </row>
    <row r="24" spans="1:7" ht="15.75" customHeight="1" thickBot="1">
      <c r="A24" s="2458" t="s">
        <v>782</v>
      </c>
      <c r="B24" s="2459"/>
      <c r="C24" s="2459"/>
      <c r="D24" s="2459"/>
      <c r="E24" s="2460"/>
    </row>
    <row r="25" spans="1:7" ht="28.5" customHeight="1" thickBot="1">
      <c r="A25" s="2466" t="s">
        <v>783</v>
      </c>
      <c r="B25" s="2467"/>
      <c r="C25" s="381" t="s">
        <v>373</v>
      </c>
      <c r="D25" s="405" t="s">
        <v>784</v>
      </c>
      <c r="E25" s="380" t="s">
        <v>359</v>
      </c>
      <c r="F25" s="1028" t="s">
        <v>783</v>
      </c>
      <c r="G25" s="381" t="s">
        <v>373</v>
      </c>
    </row>
    <row r="26" spans="1:7" ht="15.75" customHeight="1">
      <c r="A26" s="2468"/>
      <c r="B26" s="2469"/>
      <c r="C26" s="460"/>
      <c r="D26" s="461">
        <v>0</v>
      </c>
      <c r="E26" s="462">
        <v>0</v>
      </c>
      <c r="F26" s="1026">
        <v>0.6</v>
      </c>
      <c r="G26" s="932" t="s">
        <v>342</v>
      </c>
    </row>
    <row r="27" spans="1:7" ht="15.75" customHeight="1">
      <c r="A27" s="2447"/>
      <c r="B27" s="2448"/>
      <c r="C27" s="452"/>
      <c r="D27" s="463">
        <v>0</v>
      </c>
      <c r="E27" s="464">
        <v>0</v>
      </c>
      <c r="F27" s="1026">
        <v>0.55000000000000004</v>
      </c>
      <c r="G27" s="932" t="s">
        <v>343</v>
      </c>
    </row>
    <row r="28" spans="1:7" ht="15.75" customHeight="1" thickBot="1">
      <c r="A28" s="2449"/>
      <c r="B28" s="2450"/>
      <c r="C28" s="452"/>
      <c r="D28" s="465">
        <v>0</v>
      </c>
      <c r="E28" s="466">
        <v>0</v>
      </c>
      <c r="F28" s="1026">
        <v>0.5</v>
      </c>
      <c r="G28" s="932" t="s">
        <v>344</v>
      </c>
    </row>
    <row r="29" spans="1:7" ht="15.75" customHeight="1" thickBot="1">
      <c r="A29" s="406" t="s">
        <v>434</v>
      </c>
      <c r="B29" s="387"/>
      <c r="C29" s="387"/>
      <c r="D29" s="387" t="s">
        <v>303</v>
      </c>
      <c r="E29" s="480">
        <f>SUM(E26:E28)</f>
        <v>0</v>
      </c>
      <c r="F29" s="1023" t="s">
        <v>469</v>
      </c>
      <c r="G29" s="932" t="s">
        <v>297</v>
      </c>
    </row>
    <row r="30" spans="1:7" ht="22.5" customHeight="1" thickBot="1">
      <c r="A30" s="2463" t="s">
        <v>304</v>
      </c>
      <c r="B30" s="2464"/>
      <c r="C30" s="2464"/>
      <c r="D30" s="2464"/>
      <c r="E30" s="2465"/>
      <c r="F30" s="1023" t="s">
        <v>733</v>
      </c>
      <c r="G30" s="932" t="s">
        <v>345</v>
      </c>
    </row>
    <row r="31" spans="1:7" ht="15.75" customHeight="1" thickBot="1">
      <c r="A31" s="2445" t="s">
        <v>358</v>
      </c>
      <c r="B31" s="2446"/>
      <c r="C31" s="407" t="s">
        <v>360</v>
      </c>
      <c r="D31" s="638" t="s">
        <v>804</v>
      </c>
      <c r="E31" s="636" t="s">
        <v>805</v>
      </c>
      <c r="F31" s="82"/>
      <c r="G31" s="932" t="s">
        <v>781</v>
      </c>
    </row>
    <row r="32" spans="1:7" ht="13.5" customHeight="1">
      <c r="A32" s="2461" t="s">
        <v>835</v>
      </c>
      <c r="B32" s="2462"/>
      <c r="C32" s="539" t="s">
        <v>836</v>
      </c>
      <c r="D32" s="637"/>
      <c r="E32" s="533">
        <f>+Misc.!AK35</f>
        <v>0</v>
      </c>
      <c r="F32" s="409"/>
    </row>
    <row r="33" spans="1:7" s="16" customFormat="1" ht="13.5" customHeight="1">
      <c r="A33" s="532"/>
      <c r="B33" s="433"/>
      <c r="C33" s="534" t="s">
        <v>47</v>
      </c>
      <c r="D33" s="535">
        <f>'Cash Flow'!D5</f>
        <v>0</v>
      </c>
      <c r="E33" s="533"/>
      <c r="F33" s="505"/>
      <c r="G33" s="82"/>
    </row>
    <row r="34" spans="1:7" s="16" customFormat="1" ht="13.5" customHeight="1">
      <c r="A34" s="530"/>
      <c r="B34" s="531"/>
      <c r="C34" s="536" t="s">
        <v>48</v>
      </c>
      <c r="D34" s="537">
        <f>'Cash Flow'!D6</f>
        <v>0</v>
      </c>
      <c r="E34" s="529"/>
      <c r="F34" s="505"/>
      <c r="G34" s="82"/>
    </row>
    <row r="35" spans="1:7" s="16" customFormat="1" ht="13.5" customHeight="1">
      <c r="A35" s="2436">
        <v>5121</v>
      </c>
      <c r="B35" s="2437"/>
      <c r="C35" s="527" t="s">
        <v>837</v>
      </c>
      <c r="D35" s="538"/>
      <c r="E35" s="528"/>
      <c r="F35" s="505"/>
      <c r="G35" s="82"/>
    </row>
    <row r="36" spans="1:7" s="16" customFormat="1" ht="13.5" customHeight="1">
      <c r="A36" s="532"/>
      <c r="B36" s="433"/>
      <c r="C36" s="539">
        <f>Subsidies!F13</f>
        <v>0</v>
      </c>
      <c r="D36" s="540">
        <f>Subsidies!G112*12</f>
        <v>0</v>
      </c>
      <c r="E36" s="541"/>
      <c r="F36" s="505"/>
      <c r="G36" s="82"/>
    </row>
    <row r="37" spans="1:7" s="16" customFormat="1" ht="13.5" customHeight="1">
      <c r="A37" s="530"/>
      <c r="B37" s="531"/>
      <c r="C37" s="432">
        <f>Subsidies!K13</f>
        <v>0</v>
      </c>
      <c r="D37" s="542">
        <f>Subsidies!L112*12</f>
        <v>0</v>
      </c>
      <c r="E37" s="543"/>
      <c r="F37" s="505"/>
      <c r="G37" s="82"/>
    </row>
    <row r="38" spans="1:7" s="16" customFormat="1" ht="15.75" customHeight="1">
      <c r="A38" s="2451"/>
      <c r="B38" s="2452"/>
      <c r="C38" s="410" t="s">
        <v>393</v>
      </c>
      <c r="D38" s="545">
        <v>0</v>
      </c>
      <c r="E38" s="512"/>
      <c r="F38" s="505"/>
      <c r="G38" s="82"/>
    </row>
    <row r="39" spans="1:7" s="16" customFormat="1" ht="15.75" customHeight="1">
      <c r="A39" s="2429"/>
      <c r="B39" s="2430"/>
      <c r="C39" s="497" t="s">
        <v>398</v>
      </c>
      <c r="D39" s="545">
        <v>0</v>
      </c>
      <c r="E39" s="474">
        <v>0</v>
      </c>
      <c r="F39" s="505"/>
      <c r="G39" s="82"/>
    </row>
    <row r="40" spans="1:7" s="16" customFormat="1" ht="15.75" customHeight="1">
      <c r="A40" s="2429">
        <v>5910</v>
      </c>
      <c r="B40" s="2430"/>
      <c r="C40" s="410" t="s">
        <v>838</v>
      </c>
      <c r="D40" s="544">
        <f>Misc.!$L$27</f>
        <v>0</v>
      </c>
      <c r="E40" s="512"/>
      <c r="F40" s="505"/>
      <c r="G40" s="82"/>
    </row>
    <row r="41" spans="1:7" s="16" customFormat="1" ht="15.75" customHeight="1">
      <c r="A41" s="2429">
        <v>5170</v>
      </c>
      <c r="B41" s="2430"/>
      <c r="C41" s="410" t="s">
        <v>839</v>
      </c>
      <c r="D41" s="544">
        <f>+Misc.!L31</f>
        <v>0</v>
      </c>
      <c r="E41" s="482">
        <f>+Misc.!L35</f>
        <v>0</v>
      </c>
      <c r="F41" s="505"/>
      <c r="G41" s="82"/>
    </row>
    <row r="42" spans="1:7" s="16" customFormat="1" ht="15.75" customHeight="1" thickBot="1">
      <c r="A42" s="2429">
        <v>5990</v>
      </c>
      <c r="B42" s="2430"/>
      <c r="C42" s="410" t="s">
        <v>840</v>
      </c>
      <c r="D42" s="545">
        <v>0</v>
      </c>
      <c r="E42" s="471">
        <v>0</v>
      </c>
      <c r="F42" s="505"/>
      <c r="G42" s="82"/>
    </row>
    <row r="43" spans="1:7" ht="15.75" customHeight="1" thickBot="1">
      <c r="A43" s="385"/>
      <c r="B43" s="412"/>
      <c r="C43" s="387" t="s">
        <v>841</v>
      </c>
      <c r="D43" s="479">
        <f>SUM(D32:D42)</f>
        <v>0</v>
      </c>
      <c r="E43" s="479">
        <f>SUM(E32:E42)</f>
        <v>0</v>
      </c>
      <c r="F43" s="409"/>
    </row>
    <row r="44" spans="1:7" ht="6" customHeight="1" thickBot="1">
      <c r="A44" s="385"/>
      <c r="B44" s="412"/>
      <c r="C44" s="426"/>
      <c r="D44" s="832"/>
      <c r="E44" s="425"/>
      <c r="F44" s="409"/>
    </row>
    <row r="45" spans="1:7" ht="15.75" customHeight="1">
      <c r="A45" s="830"/>
      <c r="B45" s="531"/>
      <c r="C45" s="432" t="s">
        <v>744</v>
      </c>
      <c r="D45" s="831">
        <v>0.05</v>
      </c>
      <c r="E45" s="543"/>
      <c r="F45" s="409"/>
    </row>
    <row r="46" spans="1:7" ht="15.75" customHeight="1">
      <c r="A46" s="2451"/>
      <c r="B46" s="2452"/>
      <c r="C46" s="410" t="s">
        <v>745</v>
      </c>
      <c r="D46" s="829">
        <v>0.05</v>
      </c>
      <c r="E46" s="512"/>
      <c r="F46" s="409"/>
    </row>
    <row r="47" spans="1:7" ht="15.75" customHeight="1">
      <c r="A47" s="2451"/>
      <c r="B47" s="2452"/>
      <c r="C47" s="410" t="s">
        <v>746</v>
      </c>
      <c r="D47" s="829">
        <v>0.05</v>
      </c>
      <c r="E47" s="512"/>
      <c r="F47" s="409"/>
    </row>
    <row r="48" spans="1:7" ht="15.75" customHeight="1">
      <c r="A48" s="2451"/>
      <c r="B48" s="2452"/>
      <c r="C48" s="410" t="str">
        <f>"Vacancy Rate:  " &amp; C39</f>
        <v>Vacancy Rate:  Other: (specify)</v>
      </c>
      <c r="D48" s="829">
        <v>0.05</v>
      </c>
      <c r="E48" s="512"/>
      <c r="F48" s="409"/>
    </row>
    <row r="49" spans="1:6" ht="15.75" customHeight="1">
      <c r="A49" s="2451"/>
      <c r="B49" s="2452"/>
      <c r="C49" s="410" t="s">
        <v>53</v>
      </c>
      <c r="D49" s="829">
        <v>0.05</v>
      </c>
      <c r="E49" s="512"/>
      <c r="F49" s="409"/>
    </row>
    <row r="50" spans="1:6" ht="15.75" customHeight="1">
      <c r="A50" s="2451"/>
      <c r="B50" s="2452"/>
      <c r="C50" s="410" t="s">
        <v>747</v>
      </c>
      <c r="D50" s="512"/>
      <c r="E50" s="581">
        <v>0.5</v>
      </c>
      <c r="F50" s="409"/>
    </row>
    <row r="51" spans="1:6" ht="15.75" customHeight="1" thickBot="1">
      <c r="A51" s="2420" t="s">
        <v>842</v>
      </c>
      <c r="B51" s="2421"/>
      <c r="C51" s="411" t="s">
        <v>365</v>
      </c>
      <c r="D51" s="483">
        <f>(D33*D45)+(D34*D46)+((D36+D37)*D47)+(D39*D48)+((D40+D41+D42)*D49)</f>
        <v>0</v>
      </c>
      <c r="E51" s="484">
        <f>+E43*E50</f>
        <v>0</v>
      </c>
      <c r="F51" s="409"/>
    </row>
    <row r="52" spans="1:6" ht="15.75" customHeight="1" thickBot="1">
      <c r="A52" s="385"/>
      <c r="B52" s="386"/>
      <c r="C52" s="387" t="s">
        <v>364</v>
      </c>
      <c r="D52" s="485">
        <f>+D43-D51</f>
        <v>0</v>
      </c>
      <c r="E52" s="485">
        <f>+E43-E51</f>
        <v>0</v>
      </c>
      <c r="F52" s="409"/>
    </row>
    <row r="53" spans="1:6" ht="15.75" customHeight="1" thickBot="1">
      <c r="A53" s="2445" t="s">
        <v>358</v>
      </c>
      <c r="B53" s="2446"/>
      <c r="C53" s="407" t="s">
        <v>843</v>
      </c>
      <c r="D53" s="422" t="s">
        <v>804</v>
      </c>
      <c r="E53" s="423" t="s">
        <v>805</v>
      </c>
      <c r="F53" s="409"/>
    </row>
    <row r="54" spans="1:6" ht="15.75" hidden="1" customHeight="1">
      <c r="A54" s="401"/>
      <c r="B54" s="378"/>
      <c r="C54" s="67"/>
      <c r="D54" s="414"/>
      <c r="E54" s="415"/>
      <c r="F54" s="409"/>
    </row>
    <row r="55" spans="1:6" ht="15.75" customHeight="1" thickBot="1">
      <c r="A55" s="416"/>
      <c r="B55" s="399" t="s">
        <v>434</v>
      </c>
      <c r="C55" s="417" t="s">
        <v>844</v>
      </c>
      <c r="D55" s="418"/>
      <c r="E55" s="413"/>
      <c r="F55" s="409"/>
    </row>
    <row r="56" spans="1:6" ht="15.75" customHeight="1">
      <c r="A56" s="2438">
        <v>6203</v>
      </c>
      <c r="B56" s="2439"/>
      <c r="C56" s="419" t="s">
        <v>854</v>
      </c>
      <c r="D56" s="468">
        <v>0</v>
      </c>
      <c r="E56" s="469">
        <v>0</v>
      </c>
      <c r="F56" s="409"/>
    </row>
    <row r="57" spans="1:6" ht="15.75" customHeight="1">
      <c r="A57" s="2429">
        <v>6210</v>
      </c>
      <c r="B57" s="2430"/>
      <c r="C57" s="420" t="s">
        <v>855</v>
      </c>
      <c r="D57" s="470">
        <v>0</v>
      </c>
      <c r="E57" s="471">
        <v>0</v>
      </c>
      <c r="F57" s="409"/>
    </row>
    <row r="58" spans="1:6" ht="15.75" customHeight="1">
      <c r="A58" s="2429">
        <v>6250</v>
      </c>
      <c r="B58" s="2430"/>
      <c r="C58" s="420" t="s">
        <v>856</v>
      </c>
      <c r="D58" s="470">
        <v>0</v>
      </c>
      <c r="E58" s="471">
        <v>0</v>
      </c>
      <c r="F58" s="409"/>
    </row>
    <row r="59" spans="1:6" ht="15.75" customHeight="1">
      <c r="A59" s="2429">
        <v>6310</v>
      </c>
      <c r="B59" s="2430"/>
      <c r="C59" s="420" t="s">
        <v>526</v>
      </c>
      <c r="D59" s="481">
        <f>+D12</f>
        <v>0</v>
      </c>
      <c r="E59" s="471">
        <v>0</v>
      </c>
      <c r="F59" s="409"/>
    </row>
    <row r="60" spans="1:6" ht="15.75" customHeight="1">
      <c r="A60" s="2429">
        <v>6311</v>
      </c>
      <c r="B60" s="2430"/>
      <c r="C60" s="420" t="s">
        <v>857</v>
      </c>
      <c r="D60" s="470">
        <v>0</v>
      </c>
      <c r="E60" s="471">
        <v>0</v>
      </c>
      <c r="F60" s="409"/>
    </row>
    <row r="61" spans="1:6" ht="15.75" customHeight="1">
      <c r="A61" s="2429">
        <v>6312</v>
      </c>
      <c r="B61" s="2430"/>
      <c r="C61" s="420" t="s">
        <v>858</v>
      </c>
      <c r="D61" s="470">
        <v>0</v>
      </c>
      <c r="E61" s="471">
        <v>0</v>
      </c>
      <c r="F61" s="409"/>
    </row>
    <row r="62" spans="1:6" ht="15.75" customHeight="1">
      <c r="A62" s="2429">
        <v>6320</v>
      </c>
      <c r="B62" s="2430"/>
      <c r="C62" s="420" t="s">
        <v>859</v>
      </c>
      <c r="D62" s="470">
        <v>0</v>
      </c>
      <c r="E62" s="516">
        <v>0</v>
      </c>
      <c r="F62" s="409"/>
    </row>
    <row r="63" spans="1:6" ht="15.75" customHeight="1">
      <c r="A63" s="2429">
        <v>6330</v>
      </c>
      <c r="B63" s="2430"/>
      <c r="C63" s="420" t="s">
        <v>341</v>
      </c>
      <c r="D63" s="481">
        <f>+D6+D7</f>
        <v>0</v>
      </c>
      <c r="E63" s="471">
        <v>0</v>
      </c>
      <c r="F63" s="409"/>
    </row>
    <row r="64" spans="1:6" ht="15.75" customHeight="1">
      <c r="A64" s="2429">
        <v>6331</v>
      </c>
      <c r="B64" s="2430"/>
      <c r="C64" s="420" t="s">
        <v>370</v>
      </c>
      <c r="D64" s="481">
        <f>IF(G20=1,+E6+E7+E12,0)</f>
        <v>0</v>
      </c>
      <c r="E64" s="471">
        <v>0</v>
      </c>
      <c r="F64" s="409"/>
    </row>
    <row r="65" spans="1:6" ht="15.75" customHeight="1">
      <c r="A65" s="2429">
        <v>6340</v>
      </c>
      <c r="B65" s="2430"/>
      <c r="C65" s="420" t="s">
        <v>371</v>
      </c>
      <c r="D65" s="470">
        <v>0</v>
      </c>
      <c r="E65" s="471">
        <v>0</v>
      </c>
      <c r="F65" s="409"/>
    </row>
    <row r="66" spans="1:6" ht="15.75" customHeight="1">
      <c r="A66" s="2429">
        <v>6350</v>
      </c>
      <c r="B66" s="2430"/>
      <c r="C66" s="420" t="s">
        <v>860</v>
      </c>
      <c r="D66" s="470">
        <v>0</v>
      </c>
      <c r="E66" s="471">
        <v>0</v>
      </c>
      <c r="F66" s="409"/>
    </row>
    <row r="67" spans="1:6" ht="15.75" customHeight="1">
      <c r="A67" s="2429">
        <v>6351</v>
      </c>
      <c r="B67" s="2430"/>
      <c r="C67" s="420" t="s">
        <v>861</v>
      </c>
      <c r="D67" s="470">
        <v>0</v>
      </c>
      <c r="E67" s="471">
        <v>0</v>
      </c>
      <c r="F67" s="409"/>
    </row>
    <row r="68" spans="1:6" ht="15.75" customHeight="1" thickBot="1">
      <c r="A68" s="2429">
        <v>6390</v>
      </c>
      <c r="B68" s="2430"/>
      <c r="C68" s="420" t="s">
        <v>862</v>
      </c>
      <c r="D68" s="470">
        <v>0</v>
      </c>
      <c r="E68" s="471">
        <v>0</v>
      </c>
      <c r="F68" s="409"/>
    </row>
    <row r="69" spans="1:6" ht="15.75" customHeight="1" thickBot="1">
      <c r="A69" s="2422" t="s">
        <v>863</v>
      </c>
      <c r="B69" s="2423"/>
      <c r="C69" s="421" t="s">
        <v>864</v>
      </c>
      <c r="D69" s="486">
        <f>SUM(D56:D68)</f>
        <v>0</v>
      </c>
      <c r="E69" s="486">
        <f>SUM(E56:E68)</f>
        <v>0</v>
      </c>
      <c r="F69" s="409"/>
    </row>
    <row r="70" spans="1:6" ht="15.75" customHeight="1" thickBot="1">
      <c r="A70" s="2445" t="s">
        <v>358</v>
      </c>
      <c r="B70" s="2446"/>
      <c r="C70" s="407" t="s">
        <v>305</v>
      </c>
      <c r="D70" s="422" t="s">
        <v>804</v>
      </c>
      <c r="E70" s="423" t="s">
        <v>805</v>
      </c>
      <c r="F70" s="409"/>
    </row>
    <row r="71" spans="1:6" ht="15.75" customHeight="1" thickBot="1">
      <c r="A71" s="385"/>
      <c r="B71" s="386"/>
      <c r="C71" s="426" t="s">
        <v>366</v>
      </c>
      <c r="D71" s="424"/>
      <c r="E71" s="425"/>
      <c r="F71" s="409"/>
    </row>
    <row r="72" spans="1:6" ht="15.75" customHeight="1">
      <c r="A72" s="2438">
        <v>6450</v>
      </c>
      <c r="B72" s="2439"/>
      <c r="C72" s="419" t="s">
        <v>865</v>
      </c>
      <c r="D72" s="468">
        <v>0</v>
      </c>
      <c r="E72" s="469">
        <v>0</v>
      </c>
      <c r="F72" s="409"/>
    </row>
    <row r="73" spans="1:6" ht="15.75" customHeight="1">
      <c r="A73" s="2429">
        <v>6451</v>
      </c>
      <c r="B73" s="2430"/>
      <c r="C73" s="420" t="s">
        <v>774</v>
      </c>
      <c r="D73" s="470">
        <v>0</v>
      </c>
      <c r="E73" s="471">
        <v>0</v>
      </c>
      <c r="F73" s="409"/>
    </row>
    <row r="74" spans="1:6" ht="15.75" customHeight="1">
      <c r="A74" s="2429">
        <v>6452</v>
      </c>
      <c r="B74" s="2430"/>
      <c r="C74" s="420" t="s">
        <v>680</v>
      </c>
      <c r="D74" s="470">
        <v>0</v>
      </c>
      <c r="E74" s="471">
        <v>0</v>
      </c>
      <c r="F74" s="409"/>
    </row>
    <row r="75" spans="1:6" ht="15.75" customHeight="1">
      <c r="A75" s="2429">
        <v>6453</v>
      </c>
      <c r="B75" s="2430"/>
      <c r="C75" s="420" t="s">
        <v>775</v>
      </c>
      <c r="D75" s="470">
        <v>0</v>
      </c>
      <c r="E75" s="471">
        <v>0</v>
      </c>
      <c r="F75" s="409"/>
    </row>
    <row r="76" spans="1:6" ht="15.75" customHeight="1" thickBot="1">
      <c r="A76" s="2424"/>
      <c r="B76" s="2425"/>
      <c r="C76" s="519" t="s">
        <v>394</v>
      </c>
      <c r="D76" s="473">
        <v>0</v>
      </c>
      <c r="E76" s="474">
        <v>0</v>
      </c>
      <c r="F76" s="409"/>
    </row>
    <row r="77" spans="1:6" ht="15.75" customHeight="1" thickBot="1">
      <c r="A77" s="2422" t="s">
        <v>866</v>
      </c>
      <c r="B77" s="2423"/>
      <c r="C77" s="421" t="s">
        <v>867</v>
      </c>
      <c r="D77" s="486">
        <f>SUM(D72:D76)</f>
        <v>0</v>
      </c>
      <c r="E77" s="487">
        <f>SUM(E72:E76)</f>
        <v>0</v>
      </c>
      <c r="F77" s="409"/>
    </row>
    <row r="78" spans="1:6" ht="15.75" customHeight="1" thickBot="1">
      <c r="A78" s="385"/>
      <c r="B78" s="412"/>
      <c r="C78" s="426" t="s">
        <v>868</v>
      </c>
      <c r="D78" s="424"/>
      <c r="E78" s="427"/>
      <c r="F78" s="409"/>
    </row>
    <row r="79" spans="1:6" ht="15.75" customHeight="1">
      <c r="A79" s="2438">
        <v>6510</v>
      </c>
      <c r="B79" s="2439"/>
      <c r="C79" s="419" t="s">
        <v>372</v>
      </c>
      <c r="D79" s="488">
        <f>D11+D13+D14+D15</f>
        <v>0</v>
      </c>
      <c r="E79" s="469">
        <v>0</v>
      </c>
      <c r="F79" s="409"/>
    </row>
    <row r="80" spans="1:6" ht="15.75" customHeight="1">
      <c r="A80" s="2429">
        <v>6515</v>
      </c>
      <c r="B80" s="2430"/>
      <c r="C80" s="420" t="s">
        <v>895</v>
      </c>
      <c r="D80" s="470">
        <v>0</v>
      </c>
      <c r="E80" s="471">
        <v>0</v>
      </c>
      <c r="F80" s="409"/>
    </row>
    <row r="81" spans="1:6" ht="15.75" customHeight="1">
      <c r="A81" s="2429">
        <v>6520</v>
      </c>
      <c r="B81" s="2430"/>
      <c r="C81" s="428" t="s">
        <v>178</v>
      </c>
      <c r="D81" s="470">
        <v>0</v>
      </c>
      <c r="E81" s="471">
        <v>0</v>
      </c>
      <c r="F81" s="409"/>
    </row>
    <row r="82" spans="1:6" ht="15.75" customHeight="1">
      <c r="A82" s="2429">
        <v>6521</v>
      </c>
      <c r="B82" s="2430"/>
      <c r="C82" s="420" t="s">
        <v>349</v>
      </c>
      <c r="D82" s="481">
        <f>IF(G20=1,+E11+E14+E15,0)</f>
        <v>0</v>
      </c>
      <c r="E82" s="471">
        <v>0</v>
      </c>
      <c r="F82" s="409"/>
    </row>
    <row r="83" spans="1:6" ht="15.75" customHeight="1">
      <c r="A83" s="2429">
        <v>6525</v>
      </c>
      <c r="B83" s="2430"/>
      <c r="C83" s="420" t="s">
        <v>896</v>
      </c>
      <c r="D83" s="470">
        <v>0</v>
      </c>
      <c r="E83" s="471">
        <v>0</v>
      </c>
      <c r="F83" s="409"/>
    </row>
    <row r="84" spans="1:6" ht="15.75" customHeight="1">
      <c r="A84" s="2429">
        <v>6530</v>
      </c>
      <c r="B84" s="2430"/>
      <c r="C84" s="420" t="s">
        <v>897</v>
      </c>
      <c r="D84" s="470">
        <v>0</v>
      </c>
      <c r="E84" s="471">
        <v>0</v>
      </c>
      <c r="F84" s="409"/>
    </row>
    <row r="85" spans="1:6" ht="15.75" customHeight="1">
      <c r="A85" s="429">
        <v>6531</v>
      </c>
      <c r="B85" s="430"/>
      <c r="C85" s="420" t="s">
        <v>350</v>
      </c>
      <c r="D85" s="481">
        <f>IF(G20=1,+E13,0)</f>
        <v>0</v>
      </c>
      <c r="E85" s="471">
        <v>0</v>
      </c>
      <c r="F85" s="409"/>
    </row>
    <row r="86" spans="1:6" ht="15.75" customHeight="1">
      <c r="A86" s="2429">
        <v>6546</v>
      </c>
      <c r="B86" s="2430"/>
      <c r="C86" s="410" t="s">
        <v>899</v>
      </c>
      <c r="D86" s="470">
        <v>0</v>
      </c>
      <c r="E86" s="471">
        <v>0</v>
      </c>
      <c r="F86" s="409"/>
    </row>
    <row r="87" spans="1:6" ht="15.75" customHeight="1">
      <c r="A87" s="2429">
        <v>6548</v>
      </c>
      <c r="B87" s="2430"/>
      <c r="C87" s="410" t="s">
        <v>900</v>
      </c>
      <c r="D87" s="470">
        <v>0</v>
      </c>
      <c r="E87" s="471">
        <v>0</v>
      </c>
      <c r="F87" s="409"/>
    </row>
    <row r="88" spans="1:6" ht="15.75" customHeight="1">
      <c r="A88" s="2429">
        <v>6570</v>
      </c>
      <c r="B88" s="2430"/>
      <c r="C88" s="410" t="s">
        <v>347</v>
      </c>
      <c r="D88" s="470">
        <v>0</v>
      </c>
      <c r="E88" s="471">
        <v>0</v>
      </c>
      <c r="F88" s="409"/>
    </row>
    <row r="89" spans="1:6" ht="15.75" customHeight="1" thickBot="1">
      <c r="A89" s="2436">
        <v>6590</v>
      </c>
      <c r="B89" s="2437"/>
      <c r="C89" s="527" t="s">
        <v>348</v>
      </c>
      <c r="D89" s="547">
        <v>0</v>
      </c>
      <c r="E89" s="478">
        <v>0</v>
      </c>
      <c r="F89" s="409"/>
    </row>
    <row r="90" spans="1:6" ht="15.75" customHeight="1" thickBot="1">
      <c r="A90" s="2443" t="s">
        <v>901</v>
      </c>
      <c r="B90" s="2444"/>
      <c r="C90" s="431" t="s">
        <v>346</v>
      </c>
      <c r="D90" s="486">
        <f>SUM(D79:D89)</f>
        <v>0</v>
      </c>
      <c r="E90" s="487">
        <f>SUM(E79:E89)</f>
        <v>0</v>
      </c>
      <c r="F90" s="409"/>
    </row>
    <row r="91" spans="1:6" ht="15.75" customHeight="1" thickBot="1">
      <c r="A91" s="385"/>
      <c r="B91" s="412"/>
      <c r="C91" s="426" t="s">
        <v>367</v>
      </c>
      <c r="D91" s="424"/>
      <c r="E91" s="427"/>
      <c r="F91" s="409"/>
    </row>
    <row r="92" spans="1:6" ht="15.75" customHeight="1">
      <c r="A92" s="2438">
        <v>6710</v>
      </c>
      <c r="B92" s="2439"/>
      <c r="C92" s="408" t="s">
        <v>902</v>
      </c>
      <c r="D92" s="468">
        <v>0</v>
      </c>
      <c r="E92" s="469">
        <v>0</v>
      </c>
      <c r="F92" s="409"/>
    </row>
    <row r="93" spans="1:6" ht="15.75" customHeight="1">
      <c r="A93" s="2429">
        <v>6711</v>
      </c>
      <c r="B93" s="2430"/>
      <c r="C93" s="410" t="s">
        <v>527</v>
      </c>
      <c r="D93" s="582">
        <f>D17</f>
        <v>0</v>
      </c>
      <c r="E93" s="474">
        <v>0</v>
      </c>
      <c r="F93" s="409"/>
    </row>
    <row r="94" spans="1:6" ht="15.75" customHeight="1">
      <c r="A94" s="2429">
        <v>6720</v>
      </c>
      <c r="B94" s="2430"/>
      <c r="C94" s="410" t="s">
        <v>903</v>
      </c>
      <c r="D94" s="473">
        <v>0</v>
      </c>
      <c r="E94" s="474">
        <v>0</v>
      </c>
      <c r="F94" s="409"/>
    </row>
    <row r="95" spans="1:6" ht="15.75" customHeight="1">
      <c r="A95" s="2429">
        <v>6729</v>
      </c>
      <c r="B95" s="2430"/>
      <c r="C95" s="410" t="s">
        <v>293</v>
      </c>
      <c r="D95" s="473">
        <v>0</v>
      </c>
      <c r="E95" s="474">
        <v>0</v>
      </c>
      <c r="F95" s="409"/>
    </row>
    <row r="96" spans="1:6" ht="15.75" customHeight="1">
      <c r="A96" s="2429">
        <v>6721</v>
      </c>
      <c r="B96" s="2430"/>
      <c r="C96" s="410" t="s">
        <v>904</v>
      </c>
      <c r="D96" s="473">
        <v>0</v>
      </c>
      <c r="E96" s="474">
        <v>0</v>
      </c>
      <c r="F96" s="409"/>
    </row>
    <row r="97" spans="1:6" ht="15.75" customHeight="1">
      <c r="A97" s="2429">
        <v>6722</v>
      </c>
      <c r="B97" s="2430"/>
      <c r="C97" s="410" t="s">
        <v>528</v>
      </c>
      <c r="D97" s="582">
        <f>D18</f>
        <v>0</v>
      </c>
      <c r="E97" s="474">
        <v>0</v>
      </c>
      <c r="F97" s="409"/>
    </row>
    <row r="98" spans="1:6" ht="15.75" customHeight="1">
      <c r="A98" s="2429">
        <v>6723</v>
      </c>
      <c r="B98" s="2430"/>
      <c r="C98" s="410" t="s">
        <v>529</v>
      </c>
      <c r="D98" s="582">
        <f>D19</f>
        <v>0</v>
      </c>
      <c r="E98" s="474">
        <v>0</v>
      </c>
      <c r="F98" s="409"/>
    </row>
    <row r="99" spans="1:6" ht="15.75" customHeight="1" thickBot="1">
      <c r="A99" s="2420">
        <v>6790</v>
      </c>
      <c r="B99" s="2421"/>
      <c r="C99" s="411" t="s">
        <v>292</v>
      </c>
      <c r="D99" s="475">
        <v>0</v>
      </c>
      <c r="E99" s="476">
        <v>0</v>
      </c>
      <c r="F99" s="409"/>
    </row>
    <row r="100" spans="1:6" ht="15.75" customHeight="1" thickBot="1">
      <c r="A100" s="2422" t="s">
        <v>953</v>
      </c>
      <c r="B100" s="2423"/>
      <c r="C100" s="421" t="s">
        <v>954</v>
      </c>
      <c r="D100" s="486">
        <f>SUM(D92:D99)</f>
        <v>0</v>
      </c>
      <c r="E100" s="487">
        <f>SUM(E92:E99)</f>
        <v>0</v>
      </c>
      <c r="F100" s="409"/>
    </row>
    <row r="101" spans="1:6" ht="15.75" customHeight="1" thickBot="1">
      <c r="A101" s="385"/>
      <c r="B101" s="412"/>
      <c r="C101" s="426" t="s">
        <v>1375</v>
      </c>
      <c r="D101" s="424"/>
      <c r="E101" s="427"/>
      <c r="F101" s="933" t="s">
        <v>1371</v>
      </c>
    </row>
    <row r="102" spans="1:6" ht="15.75" customHeight="1">
      <c r="A102" s="2424">
        <v>6990</v>
      </c>
      <c r="B102" s="2425"/>
      <c r="C102" s="929" t="s">
        <v>1372</v>
      </c>
      <c r="D102" s="824">
        <f>D8</f>
        <v>0</v>
      </c>
      <c r="E102" s="474">
        <v>0</v>
      </c>
      <c r="F102" s="934">
        <f>(D103+D104)*0.1</f>
        <v>0</v>
      </c>
    </row>
    <row r="103" spans="1:6" ht="15.75" customHeight="1">
      <c r="A103" s="2429">
        <v>6990</v>
      </c>
      <c r="B103" s="2430"/>
      <c r="C103" s="930" t="s">
        <v>1377</v>
      </c>
      <c r="D103" s="824">
        <f>D9</f>
        <v>0</v>
      </c>
      <c r="E103" s="474">
        <v>0</v>
      </c>
      <c r="F103" s="935"/>
    </row>
    <row r="104" spans="1:6" ht="15.75" customHeight="1">
      <c r="A104" s="2429">
        <v>6990</v>
      </c>
      <c r="B104" s="2430"/>
      <c r="C104" s="930" t="s">
        <v>1373</v>
      </c>
      <c r="D104" s="824">
        <f>D10</f>
        <v>0</v>
      </c>
      <c r="E104" s="474">
        <v>0</v>
      </c>
      <c r="F104" s="935"/>
    </row>
    <row r="105" spans="1:6" ht="15.75" customHeight="1">
      <c r="A105" s="2429">
        <v>6990</v>
      </c>
      <c r="B105" s="2430"/>
      <c r="C105" s="930" t="s">
        <v>1374</v>
      </c>
      <c r="D105" s="473">
        <v>0</v>
      </c>
      <c r="E105" s="474">
        <v>0</v>
      </c>
      <c r="F105" s="934">
        <f>SUM(D102:D107)*0.15</f>
        <v>0</v>
      </c>
    </row>
    <row r="106" spans="1:6" ht="15.75" customHeight="1">
      <c r="A106" s="2429">
        <v>6990</v>
      </c>
      <c r="B106" s="2430"/>
      <c r="C106" s="865" t="s">
        <v>1055</v>
      </c>
      <c r="D106" s="473">
        <v>0</v>
      </c>
      <c r="E106" s="471">
        <v>0</v>
      </c>
      <c r="F106" s="936"/>
    </row>
    <row r="107" spans="1:6" ht="15.75" customHeight="1" thickBot="1">
      <c r="A107" s="2431">
        <v>6990</v>
      </c>
      <c r="B107" s="2432"/>
      <c r="C107" s="866" t="s">
        <v>1055</v>
      </c>
      <c r="D107" s="472">
        <v>0</v>
      </c>
      <c r="E107" s="476">
        <v>0</v>
      </c>
      <c r="F107" s="936"/>
    </row>
    <row r="108" spans="1:6" ht="15.75" customHeight="1" thickBot="1">
      <c r="A108" s="2422" t="s">
        <v>955</v>
      </c>
      <c r="B108" s="2423"/>
      <c r="C108" s="421" t="s">
        <v>1054</v>
      </c>
      <c r="D108" s="824">
        <f>SUM(D102:D107)</f>
        <v>0</v>
      </c>
      <c r="E108" s="489">
        <f>SUM(E102:E107)</f>
        <v>0</v>
      </c>
      <c r="F108" s="934">
        <f>'Supportive Services Costs'!AH11</f>
        <v>0</v>
      </c>
    </row>
    <row r="109" spans="1:6" ht="6" customHeight="1" thickBot="1">
      <c r="A109" s="2426"/>
      <c r="B109" s="2427"/>
      <c r="C109" s="2427"/>
      <c r="D109" s="2427"/>
      <c r="E109" s="2428"/>
      <c r="F109" s="409"/>
    </row>
    <row r="110" spans="1:6" ht="14.25" customHeight="1" thickBot="1">
      <c r="A110" s="416"/>
      <c r="B110" s="510"/>
      <c r="C110" s="511" t="s">
        <v>296</v>
      </c>
      <c r="D110" s="490">
        <f>+D69+D77+D90+D100+D108</f>
        <v>0</v>
      </c>
      <c r="E110" s="491">
        <f>+E69+E77+E90+E100+E108</f>
        <v>0</v>
      </c>
      <c r="F110" s="409"/>
    </row>
    <row r="111" spans="1:6" ht="15.75" customHeight="1" thickBot="1">
      <c r="A111" s="385"/>
      <c r="B111" s="412"/>
      <c r="C111" s="435" t="s">
        <v>368</v>
      </c>
      <c r="D111" s="436" t="s">
        <v>751</v>
      </c>
      <c r="E111" s="437" t="s">
        <v>761</v>
      </c>
      <c r="F111" s="409"/>
    </row>
    <row r="112" spans="1:6" ht="15.75" customHeight="1">
      <c r="A112" s="2424">
        <v>7210</v>
      </c>
      <c r="B112" s="2425"/>
      <c r="C112" s="438" t="s">
        <v>956</v>
      </c>
      <c r="D112" s="473">
        <v>0</v>
      </c>
      <c r="E112" s="474">
        <v>0</v>
      </c>
      <c r="F112" s="409"/>
    </row>
    <row r="113" spans="1:7" ht="15.75" customHeight="1">
      <c r="A113" s="2429">
        <v>7220</v>
      </c>
      <c r="B113" s="2430"/>
      <c r="C113" s="497" t="s">
        <v>295</v>
      </c>
      <c r="D113" s="473">
        <v>0</v>
      </c>
      <c r="E113" s="474">
        <v>0</v>
      </c>
      <c r="F113" s="409"/>
    </row>
    <row r="114" spans="1:7" ht="15.75" customHeight="1">
      <c r="A114" s="2429">
        <v>7230</v>
      </c>
      <c r="B114" s="2430"/>
      <c r="C114" s="497" t="s">
        <v>295</v>
      </c>
      <c r="D114" s="473">
        <v>0</v>
      </c>
      <c r="E114" s="474">
        <v>0</v>
      </c>
      <c r="F114" s="409"/>
    </row>
    <row r="115" spans="1:7" ht="15.75" customHeight="1" thickBot="1">
      <c r="A115" s="2420">
        <v>7240</v>
      </c>
      <c r="B115" s="2421"/>
      <c r="C115" s="498" t="s">
        <v>295</v>
      </c>
      <c r="D115" s="472">
        <v>0</v>
      </c>
      <c r="E115" s="467">
        <v>0</v>
      </c>
      <c r="F115" s="409"/>
    </row>
    <row r="116" spans="1:7" ht="15.75" customHeight="1" thickBot="1">
      <c r="A116" s="2422"/>
      <c r="B116" s="2423"/>
      <c r="C116" s="421" t="s">
        <v>294</v>
      </c>
      <c r="D116" s="486">
        <f>SUM(D112:D115)</f>
        <v>0</v>
      </c>
      <c r="E116" s="492">
        <f>SUM(E112:E115)</f>
        <v>0</v>
      </c>
      <c r="F116" s="409"/>
      <c r="G116" s="1027"/>
    </row>
    <row r="117" spans="1:7" ht="15.75" customHeight="1" thickBot="1">
      <c r="A117" s="385"/>
      <c r="B117" s="412"/>
      <c r="C117" s="435" t="s">
        <v>185</v>
      </c>
      <c r="D117" s="436" t="s">
        <v>751</v>
      </c>
      <c r="E117" s="437" t="s">
        <v>761</v>
      </c>
      <c r="F117" s="409"/>
    </row>
    <row r="118" spans="1:7" ht="15.75" customHeight="1" thickBot="1">
      <c r="A118" s="2424"/>
      <c r="B118" s="2425"/>
      <c r="C118" s="438" t="s">
        <v>874</v>
      </c>
      <c r="D118" s="473">
        <v>0</v>
      </c>
      <c r="E118" s="474">
        <v>0</v>
      </c>
      <c r="F118" s="409"/>
    </row>
    <row r="119" spans="1:7" ht="15.75" customHeight="1" thickBot="1">
      <c r="A119" s="2422"/>
      <c r="B119" s="2423"/>
      <c r="C119" s="421" t="s">
        <v>186</v>
      </c>
      <c r="D119" s="486">
        <f>SUM(D118:D118)</f>
        <v>0</v>
      </c>
      <c r="E119" s="492">
        <f>SUM(E118:E118)</f>
        <v>0</v>
      </c>
      <c r="F119" s="409"/>
      <c r="G119" s="1027"/>
    </row>
    <row r="120" spans="1:7" ht="14.25" customHeight="1" thickBot="1">
      <c r="A120" s="401"/>
      <c r="B120" s="433"/>
      <c r="C120" s="434" t="s">
        <v>957</v>
      </c>
      <c r="D120" s="493">
        <f>+D52-D110-D116-D119</f>
        <v>0</v>
      </c>
      <c r="E120" s="494">
        <f>+E52-E110-E116-E119</f>
        <v>0</v>
      </c>
      <c r="F120" s="409"/>
      <c r="G120" s="1027"/>
    </row>
    <row r="121" spans="1:7" ht="6" customHeight="1" thickBot="1">
      <c r="A121" s="2440"/>
      <c r="B121" s="2441"/>
      <c r="C121" s="2441"/>
      <c r="D121" s="2441"/>
      <c r="E121" s="2442"/>
      <c r="F121" s="409"/>
    </row>
    <row r="122" spans="1:7" ht="15.75" customHeight="1" thickBot="1">
      <c r="A122" s="385"/>
      <c r="B122" s="412"/>
      <c r="C122" s="435" t="s">
        <v>369</v>
      </c>
      <c r="D122" s="439"/>
      <c r="E122" s="427"/>
      <c r="F122" s="409"/>
    </row>
    <row r="123" spans="1:7" ht="15.75" customHeight="1">
      <c r="A123" s="2438">
        <v>6820</v>
      </c>
      <c r="B123" s="2439"/>
      <c r="C123" s="440" t="s">
        <v>958</v>
      </c>
      <c r="D123" s="477">
        <v>0</v>
      </c>
      <c r="E123" s="477">
        <v>0</v>
      </c>
      <c r="F123" s="409"/>
    </row>
    <row r="124" spans="1:7" ht="15.75" customHeight="1">
      <c r="A124" s="2429">
        <v>6830</v>
      </c>
      <c r="B124" s="2430"/>
      <c r="C124" s="428" t="s">
        <v>959</v>
      </c>
      <c r="D124" s="477">
        <v>0</v>
      </c>
      <c r="E124" s="477">
        <v>0</v>
      </c>
      <c r="F124" s="409"/>
    </row>
    <row r="125" spans="1:7" ht="15.75" customHeight="1">
      <c r="A125" s="2429">
        <v>6840</v>
      </c>
      <c r="B125" s="2430"/>
      <c r="C125" s="428" t="s">
        <v>299</v>
      </c>
      <c r="D125" s="477">
        <v>0</v>
      </c>
      <c r="E125" s="477">
        <v>0</v>
      </c>
      <c r="F125" s="409"/>
    </row>
    <row r="126" spans="1:7" ht="15.75" customHeight="1" thickBot="1">
      <c r="A126" s="2436">
        <v>6890</v>
      </c>
      <c r="B126" s="2437"/>
      <c r="C126" s="499" t="s">
        <v>306</v>
      </c>
      <c r="D126" s="477">
        <v>0</v>
      </c>
      <c r="E126" s="478">
        <v>0</v>
      </c>
      <c r="F126" s="409"/>
    </row>
    <row r="127" spans="1:7" ht="15.75" customHeight="1" thickBot="1">
      <c r="A127" s="2422" t="s">
        <v>960</v>
      </c>
      <c r="B127" s="2423"/>
      <c r="C127" s="421" t="s">
        <v>298</v>
      </c>
      <c r="D127" s="486">
        <f>SUM(D123:D126)</f>
        <v>0</v>
      </c>
      <c r="E127" s="487">
        <f>SUM(E123:E126)</f>
        <v>0</v>
      </c>
      <c r="F127" s="409"/>
    </row>
    <row r="128" spans="1:7" ht="14.25" customHeight="1" thickBot="1">
      <c r="A128" s="401"/>
      <c r="B128" s="433"/>
      <c r="C128" s="434" t="s">
        <v>961</v>
      </c>
      <c r="D128" s="490">
        <f>+D120-D127</f>
        <v>0</v>
      </c>
      <c r="E128" s="494">
        <f>+E120-E127</f>
        <v>0</v>
      </c>
      <c r="F128" s="409"/>
    </row>
    <row r="129" spans="1:6" ht="6" customHeight="1">
      <c r="A129" s="401"/>
      <c r="B129" s="67"/>
      <c r="C129" s="67"/>
      <c r="D129" s="441"/>
      <c r="E129" s="442"/>
      <c r="F129" s="409"/>
    </row>
    <row r="130" spans="1:6" ht="15.75" customHeight="1" thickBot="1">
      <c r="A130" s="2420">
        <v>7190</v>
      </c>
      <c r="B130" s="2421"/>
      <c r="C130" s="411" t="s">
        <v>873</v>
      </c>
      <c r="D130" s="472">
        <v>0</v>
      </c>
      <c r="E130" s="467">
        <v>0</v>
      </c>
      <c r="F130" s="409"/>
    </row>
    <row r="131" spans="1:6">
      <c r="A131" s="65"/>
      <c r="B131" s="68"/>
      <c r="C131" s="68"/>
      <c r="D131" s="443" t="s">
        <v>786</v>
      </c>
      <c r="E131" s="444" t="s">
        <v>787</v>
      </c>
    </row>
    <row r="132" spans="1:6">
      <c r="A132" s="445" t="s">
        <v>785</v>
      </c>
      <c r="E132" s="11"/>
    </row>
    <row r="133" spans="1:6">
      <c r="A133" s="2433" t="s">
        <v>176</v>
      </c>
      <c r="B133" s="2434"/>
      <c r="C133" s="2434"/>
      <c r="D133" s="495" t="e">
        <f>+D110/('Rents '!D$110+'Rents '!D$124)</f>
        <v>#DIV/0!</v>
      </c>
      <c r="E133" s="496" t="e">
        <f>+D133/12</f>
        <v>#DIV/0!</v>
      </c>
    </row>
    <row r="134" spans="1:6">
      <c r="A134" s="2433" t="s">
        <v>177</v>
      </c>
      <c r="B134" s="2434"/>
      <c r="C134" s="2434"/>
      <c r="D134" s="495" t="e">
        <f>IF(G20=1,+(E16+D110)/('Rents '!D$110+'Rents '!D$124),+D110/('Rents '!D$110+'Rents '!D$124))</f>
        <v>#DIV/0!</v>
      </c>
      <c r="E134" s="496" t="e">
        <f>+D134/12</f>
        <v>#DIV/0!</v>
      </c>
    </row>
    <row r="135" spans="1:6" ht="40.5" customHeight="1">
      <c r="A135" s="2435" t="s">
        <v>45</v>
      </c>
      <c r="B135" s="2434"/>
      <c r="C135" s="2434"/>
      <c r="D135" s="495" t="e">
        <f>IF(G20=1,+((E16+D110)-(D92+D108))/('Rents '!D$110+'Rents '!D$124),(+D110-(D92+D108))/('Rents '!D$110+'Rents '!D$124))</f>
        <v>#DIV/0!</v>
      </c>
      <c r="E135" s="496" t="e">
        <f>+D135/12</f>
        <v>#DIV/0!</v>
      </c>
    </row>
    <row r="136" spans="1:6" ht="12" customHeight="1" thickBot="1">
      <c r="A136" s="446"/>
      <c r="B136" s="19"/>
      <c r="C136" s="19"/>
      <c r="D136" s="447"/>
      <c r="E136" s="568" t="str">
        <f>'General '!AI11</f>
        <v>UA Version 5/8/19</v>
      </c>
    </row>
  </sheetData>
  <sheetProtection password="C9E9" sheet="1" objects="1" scenarios="1"/>
  <mergeCells count="90">
    <mergeCell ref="A60:B60"/>
    <mergeCell ref="A61:B61"/>
    <mergeCell ref="A53:B53"/>
    <mergeCell ref="A56:B56"/>
    <mergeCell ref="A57:B57"/>
    <mergeCell ref="A58:B58"/>
    <mergeCell ref="A47:B47"/>
    <mergeCell ref="A48:B48"/>
    <mergeCell ref="A49:B49"/>
    <mergeCell ref="A50:B50"/>
    <mergeCell ref="A59:B59"/>
    <mergeCell ref="A1:E1"/>
    <mergeCell ref="A2:E2"/>
    <mergeCell ref="A4:E4"/>
    <mergeCell ref="A24:E24"/>
    <mergeCell ref="A46:B46"/>
    <mergeCell ref="A40:B40"/>
    <mergeCell ref="A32:B32"/>
    <mergeCell ref="A30:E30"/>
    <mergeCell ref="A25:B25"/>
    <mergeCell ref="A26:B26"/>
    <mergeCell ref="A68:B68"/>
    <mergeCell ref="A27:B27"/>
    <mergeCell ref="A28:B28"/>
    <mergeCell ref="A38:B38"/>
    <mergeCell ref="A31:B31"/>
    <mergeCell ref="A62:B62"/>
    <mergeCell ref="A35:B35"/>
    <mergeCell ref="A41:B41"/>
    <mergeCell ref="A51:B51"/>
    <mergeCell ref="A39:B39"/>
    <mergeCell ref="A63:B63"/>
    <mergeCell ref="A64:B64"/>
    <mergeCell ref="A65:B65"/>
    <mergeCell ref="A66:B66"/>
    <mergeCell ref="A67:B67"/>
    <mergeCell ref="A42:B42"/>
    <mergeCell ref="A69:B69"/>
    <mergeCell ref="A72:B72"/>
    <mergeCell ref="A70:B70"/>
    <mergeCell ref="A73:B73"/>
    <mergeCell ref="A74:B74"/>
    <mergeCell ref="A75:B75"/>
    <mergeCell ref="A77:B77"/>
    <mergeCell ref="A76:B76"/>
    <mergeCell ref="A82:B82"/>
    <mergeCell ref="A83:B83"/>
    <mergeCell ref="A84:B84"/>
    <mergeCell ref="A79:B79"/>
    <mergeCell ref="A80:B80"/>
    <mergeCell ref="A81:B81"/>
    <mergeCell ref="A87:B87"/>
    <mergeCell ref="A88:B88"/>
    <mergeCell ref="A89:B89"/>
    <mergeCell ref="A86:B86"/>
    <mergeCell ref="A90:B90"/>
    <mergeCell ref="A92:B92"/>
    <mergeCell ref="A93:B93"/>
    <mergeCell ref="A94:B94"/>
    <mergeCell ref="A95:B95"/>
    <mergeCell ref="A96:B96"/>
    <mergeCell ref="A97:B97"/>
    <mergeCell ref="A98:B98"/>
    <mergeCell ref="A99:B99"/>
    <mergeCell ref="A100:B100"/>
    <mergeCell ref="A102:B102"/>
    <mergeCell ref="A103:B103"/>
    <mergeCell ref="A125:B125"/>
    <mergeCell ref="A126:B126"/>
    <mergeCell ref="A119:B119"/>
    <mergeCell ref="A118:B118"/>
    <mergeCell ref="A123:B123"/>
    <mergeCell ref="A124:B124"/>
    <mergeCell ref="A121:E121"/>
    <mergeCell ref="A134:C134"/>
    <mergeCell ref="A135:C135"/>
    <mergeCell ref="A127:B127"/>
    <mergeCell ref="A130:B130"/>
    <mergeCell ref="A133:C133"/>
    <mergeCell ref="A115:B115"/>
    <mergeCell ref="A116:B116"/>
    <mergeCell ref="A112:B112"/>
    <mergeCell ref="A109:E109"/>
    <mergeCell ref="A104:B104"/>
    <mergeCell ref="A107:B107"/>
    <mergeCell ref="A108:B108"/>
    <mergeCell ref="A113:B113"/>
    <mergeCell ref="A114:B114"/>
    <mergeCell ref="A105:B105"/>
    <mergeCell ref="A106:B106"/>
  </mergeCells>
  <phoneticPr fontId="17" type="noConversion"/>
  <dataValidations disablePrompts="1" count="2">
    <dataValidation type="list" allowBlank="1" showInputMessage="1" showErrorMessage="1" sqref="A26:B28">
      <formula1>$F$26:$F$30</formula1>
    </dataValidation>
    <dataValidation type="list" allowBlank="1" showInputMessage="1" showErrorMessage="1" sqref="C26:C28">
      <formula1>$G$26:$G$31</formula1>
    </dataValidation>
  </dataValidations>
  <printOptions horizontalCentered="1"/>
  <pageMargins left="0.5" right="0" top="0.5" bottom="0.3" header="0" footer="0"/>
  <pageSetup scale="68" firstPageNumber="24" fitToHeight="2" orientation="portrait" horizontalDpi="525" verticalDpi="525" r:id="rId1"/>
  <headerFooter scaleWithDoc="0" alignWithMargins="0">
    <oddFooter>&amp;C&amp;9Page &amp;P of &amp;N&amp;R&amp;"Arial,Italic"&amp;9Universal Application - &amp;A</oddFooter>
  </headerFooter>
  <rowBreaks count="1" manualBreakCount="1">
    <brk id="69" max="4" man="1"/>
  </rowBreaks>
  <drawing r:id="rId2"/>
  <legacyDrawing r:id="rId3"/>
  <mc:AlternateContent xmlns:mc="http://schemas.openxmlformats.org/markup-compatibility/2006">
    <mc:Choice Requires="x14">
      <controls>
        <mc:AlternateContent xmlns:mc="http://schemas.openxmlformats.org/markup-compatibility/2006">
          <mc:Choice Requires="x14">
            <control shapeId="14403" r:id="rId4" name="Option Button 67">
              <controlPr locked="0" defaultSize="0" autoFill="0" autoLine="0" autoPict="0">
                <anchor moveWithCells="1">
                  <from>
                    <xdr:col>4</xdr:col>
                    <xdr:colOff>219075</xdr:colOff>
                    <xdr:row>18</xdr:row>
                    <xdr:rowOff>76200</xdr:rowOff>
                  </from>
                  <to>
                    <xdr:col>4</xdr:col>
                    <xdr:colOff>590550</xdr:colOff>
                    <xdr:row>19</xdr:row>
                    <xdr:rowOff>95250</xdr:rowOff>
                  </to>
                </anchor>
              </controlPr>
            </control>
          </mc:Choice>
        </mc:AlternateContent>
        <mc:AlternateContent xmlns:mc="http://schemas.openxmlformats.org/markup-compatibility/2006">
          <mc:Choice Requires="x14">
            <control shapeId="14404" r:id="rId5" name="Option Button 68">
              <controlPr locked="0" defaultSize="0" autoFill="0" autoLine="0" autoPict="0">
                <anchor moveWithCells="1">
                  <from>
                    <xdr:col>4</xdr:col>
                    <xdr:colOff>742950</xdr:colOff>
                    <xdr:row>18</xdr:row>
                    <xdr:rowOff>76200</xdr:rowOff>
                  </from>
                  <to>
                    <xdr:col>4</xdr:col>
                    <xdr:colOff>1104900</xdr:colOff>
                    <xdr:row>19</xdr:row>
                    <xdr:rowOff>95250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9" id="{06EDF1CF-7BEF-4D02-AE19-408BC0BEA755}">
            <xm:f>AND('General '!$N$24="Name of HCD Funding",'General '!$N$29="Name of HCD Funding",'General '!$N$34="Name of HCD Funding",'General '!$N$38="Name of HCD Funding")</xm:f>
            <x14:dxf>
              <font>
                <color theme="0"/>
              </font>
            </x14:dxf>
          </x14:cfRule>
          <xm:sqref>F101</xm:sqref>
        </x14:conditionalFormatting>
        <x14:conditionalFormatting xmlns:xm="http://schemas.microsoft.com/office/excel/2006/main">
          <x14:cfRule type="expression" priority="8" id="{E9CBEA93-1AA8-4D6A-A979-E5910724D5AC}">
            <xm:f>AND('General '!$N$24="Name of HCD Funding",'General '!$N$29="Name of HCD Funding",'General '!$N$34="Name of HCD Funding",'General '!$N$38="Name of HCD Funding")</xm:f>
            <x14:dxf>
              <font>
                <color theme="0"/>
              </font>
            </x14:dxf>
          </x14:cfRule>
          <xm:sqref>F102</xm:sqref>
        </x14:conditionalFormatting>
        <x14:conditionalFormatting xmlns:xm="http://schemas.microsoft.com/office/excel/2006/main">
          <x14:cfRule type="expression" priority="7" id="{8F880D7E-FF85-489F-A10B-C0F783E29C83}">
            <xm:f>AND('General '!$N$24="Name of HCD Funding",'General '!$N$29="Name of HCD Funding",'General '!$N$34="Name of HCD Funding",'General '!$N$38="Name of HCD Funding")</xm:f>
            <x14:dxf>
              <font>
                <color theme="0"/>
              </font>
            </x14:dxf>
          </x14:cfRule>
          <xm:sqref>F105</xm:sqref>
        </x14:conditionalFormatting>
        <x14:conditionalFormatting xmlns:xm="http://schemas.microsoft.com/office/excel/2006/main">
          <x14:cfRule type="expression" priority="4" id="{A07E5D33-B76F-492D-BB18-C22CC86FB158}">
            <xm:f>AND(OR('General '!$N$24&lt;&gt;"Name of HCD Funding",'General '!$N$29&lt;&gt;"Name of HCD Funding",'General '!$N$34&lt;&gt;"Name of HCD Funding",'General '!$N$38&lt;&gt;"Name of HCD Funding"),D102&gt;F102)</xm:f>
            <x14:dxf>
              <fill>
                <gradientFill degree="90">
                  <stop position="0">
                    <color theme="0"/>
                  </stop>
                  <stop position="1">
                    <color rgb="FFFF7171"/>
                  </stop>
                </gradientFill>
              </fill>
            </x14:dxf>
          </x14:cfRule>
          <xm:sqref>D102</xm:sqref>
        </x14:conditionalFormatting>
        <x14:conditionalFormatting xmlns:xm="http://schemas.microsoft.com/office/excel/2006/main">
          <x14:cfRule type="expression" priority="3" id="{F8A74A5C-D844-463B-82F5-0E197EBDB69A}">
            <xm:f>AND(OR('General '!$N$24&lt;&gt;"Name of HCD Funding",'General '!$N$29&lt;&gt;"Name of HCD Funding",'General '!$N$34&lt;&gt;"Name of HCD Funding",'General '!$N$38&lt;&gt;"Name of HCD Funding"),D105&gt;F105)</xm:f>
            <x14:dxf>
              <fill>
                <gradientFill degree="90">
                  <stop position="0">
                    <color theme="0"/>
                  </stop>
                  <stop position="1">
                    <color rgb="FFFF7171"/>
                  </stop>
                </gradientFill>
              </fill>
            </x14:dxf>
          </x14:cfRule>
          <xm:sqref>D105</xm:sqref>
        </x14:conditionalFormatting>
        <x14:conditionalFormatting xmlns:xm="http://schemas.microsoft.com/office/excel/2006/main">
          <x14:cfRule type="expression" priority="2" id="{B4306A21-66C0-4C52-9436-F574FB6663E3}">
            <xm:f>AND('General '!$N$24="Name of HCD Funding",'General '!$N$29="Name of HCD Funding",'General '!$N$34="Name of HCD Funding",'General '!$N$38="Name of HCD Funding")</xm:f>
            <x14:dxf>
              <font>
                <color theme="0"/>
              </font>
            </x14:dxf>
          </x14:cfRule>
          <xm:sqref>F108</xm:sqref>
        </x14:conditionalFormatting>
        <x14:conditionalFormatting xmlns:xm="http://schemas.microsoft.com/office/excel/2006/main">
          <x14:cfRule type="expression" priority="1" id="{4D74462D-FA46-4AFD-A9A2-616878CFAE92}">
            <xm:f>AND(OR('General '!$N$24&lt;&gt;"Name of HCD Funding",'General '!$N$29&lt;&gt;"Name of HCD Funding",'General '!$N$34&lt;&gt;"Name of HCD Funding",'General '!$N$38&lt;&gt;"Name of HCD Funding"),D108&gt;F108)</xm:f>
            <x14:dxf>
              <fill>
                <gradientFill degree="90">
                  <stop position="0">
                    <color theme="0"/>
                  </stop>
                  <stop position="1">
                    <color rgb="FFFF7171"/>
                  </stop>
                </gradientFill>
              </fill>
            </x14:dxf>
          </x14:cfRule>
          <xm:sqref>D108</xm:sqref>
        </x14:conditionalFormatting>
      </x14:conditionalFormatting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BB318"/>
  <sheetViews>
    <sheetView showGridLines="0" zoomScaleNormal="100" workbookViewId="0">
      <pane xSplit="3" ySplit="4" topLeftCell="D5" activePane="bottomRight" state="frozen"/>
      <selection pane="topRight" activeCell="D1" sqref="D1"/>
      <selection pane="bottomLeft" activeCell="A5" sqref="A5"/>
      <selection pane="bottomRight" activeCell="A2" sqref="A2:W2"/>
    </sheetView>
  </sheetViews>
  <sheetFormatPr defaultColWidth="9.140625" defaultRowHeight="12.75"/>
  <cols>
    <col min="1" max="1" width="9.42578125" customWidth="1"/>
    <col min="2" max="2" width="15.5703125" customWidth="1"/>
    <col min="3" max="3" width="7.42578125" bestFit="1" customWidth="1"/>
    <col min="4" max="23" width="10.42578125" customWidth="1"/>
    <col min="24" max="43" width="10.42578125" hidden="1" customWidth="1"/>
    <col min="44" max="44" width="10.42578125" customWidth="1"/>
    <col min="45" max="52" width="9.140625" hidden="1" customWidth="1"/>
    <col min="53" max="53" width="9.140625" customWidth="1"/>
  </cols>
  <sheetData>
    <row r="1" spans="1:54" ht="13.5" customHeight="1">
      <c r="A1" s="2472">
        <f>+'General '!A45</f>
        <v>0</v>
      </c>
      <c r="B1" s="2472"/>
      <c r="C1" s="2472"/>
      <c r="D1" s="2472"/>
      <c r="E1" s="2472"/>
      <c r="F1" s="2472"/>
      <c r="G1" s="2472"/>
      <c r="H1" s="2472"/>
      <c r="I1" s="2472"/>
      <c r="J1" s="2472"/>
      <c r="K1" s="2472"/>
      <c r="L1" s="2472"/>
      <c r="M1" s="2472"/>
      <c r="N1" s="2472"/>
      <c r="O1" s="2472"/>
      <c r="P1" s="2472"/>
      <c r="Q1" s="2472"/>
      <c r="R1" s="2472"/>
    </row>
    <row r="2" spans="1:54" ht="14.25" customHeight="1">
      <c r="A2" s="2454" t="s">
        <v>46</v>
      </c>
      <c r="B2" s="2454"/>
      <c r="C2" s="2454"/>
      <c r="D2" s="2454"/>
      <c r="E2" s="2454"/>
      <c r="F2" s="2454"/>
      <c r="G2" s="2454"/>
      <c r="H2" s="2454"/>
      <c r="I2" s="2454"/>
      <c r="J2" s="2454"/>
      <c r="K2" s="2454"/>
      <c r="L2" s="2454"/>
      <c r="M2" s="2454"/>
      <c r="N2" s="2454"/>
      <c r="O2" s="2454"/>
      <c r="P2" s="2454"/>
      <c r="Q2" s="2454"/>
      <c r="R2" s="2454"/>
      <c r="S2" s="2454"/>
      <c r="T2" s="2454"/>
      <c r="U2" s="2454"/>
      <c r="V2" s="2454"/>
      <c r="W2" s="2454"/>
    </row>
    <row r="3" spans="1:54" s="675" customFormat="1">
      <c r="A3" s="789" t="s">
        <v>203</v>
      </c>
      <c r="B3" s="790"/>
      <c r="C3" s="791"/>
      <c r="D3" s="792">
        <v>1</v>
      </c>
      <c r="E3" s="793" t="s">
        <v>797</v>
      </c>
      <c r="F3" s="794"/>
      <c r="G3" s="513"/>
      <c r="H3" s="790" t="s">
        <v>204</v>
      </c>
      <c r="I3" s="795"/>
      <c r="J3" s="796" t="str">
        <f>'General '!AI11</f>
        <v>UA Version 5/8/19</v>
      </c>
      <c r="K3" s="797"/>
      <c r="L3" s="14"/>
      <c r="M3" s="501"/>
      <c r="N3" s="798"/>
      <c r="O3" s="171"/>
      <c r="Q3" s="501"/>
      <c r="R3" s="501"/>
      <c r="S3" s="500"/>
      <c r="T3" s="500"/>
      <c r="U3" s="500"/>
      <c r="V3" s="500"/>
      <c r="W3" s="799"/>
      <c r="X3" s="500"/>
      <c r="Y3" s="500"/>
      <c r="Z3" s="500"/>
      <c r="AA3" s="799"/>
      <c r="AB3" s="500"/>
      <c r="AC3" s="500"/>
      <c r="AD3" s="500"/>
      <c r="AE3" s="500"/>
      <c r="AF3" s="500"/>
      <c r="AG3" s="799"/>
      <c r="AH3" s="500"/>
      <c r="AI3" s="500"/>
      <c r="AJ3" s="500"/>
      <c r="AK3" s="799"/>
      <c r="AL3" s="500"/>
      <c r="AM3" s="500"/>
      <c r="AN3" s="500"/>
      <c r="AO3" s="500"/>
      <c r="AP3" s="500"/>
      <c r="AQ3" s="799"/>
    </row>
    <row r="4" spans="1:54" s="74" customFormat="1" ht="12.75" customHeight="1">
      <c r="A4" s="688" t="s">
        <v>202</v>
      </c>
      <c r="B4" s="689"/>
      <c r="C4" s="690" t="s">
        <v>206</v>
      </c>
      <c r="D4" s="691" t="s">
        <v>962</v>
      </c>
      <c r="E4" s="692" t="s">
        <v>963</v>
      </c>
      <c r="F4" s="692" t="s">
        <v>964</v>
      </c>
      <c r="G4" s="692" t="s">
        <v>965</v>
      </c>
      <c r="H4" s="692" t="s">
        <v>966</v>
      </c>
      <c r="I4" s="692" t="s">
        <v>967</v>
      </c>
      <c r="J4" s="692" t="s">
        <v>968</v>
      </c>
      <c r="K4" s="692" t="s">
        <v>969</v>
      </c>
      <c r="L4" s="692" t="s">
        <v>970</v>
      </c>
      <c r="M4" s="692" t="s">
        <v>971</v>
      </c>
      <c r="N4" s="692" t="s">
        <v>972</v>
      </c>
      <c r="O4" s="692" t="s">
        <v>973</v>
      </c>
      <c r="P4" s="692" t="s">
        <v>974</v>
      </c>
      <c r="Q4" s="692" t="s">
        <v>975</v>
      </c>
      <c r="R4" s="692" t="s">
        <v>976</v>
      </c>
      <c r="S4" s="692" t="s">
        <v>977</v>
      </c>
      <c r="T4" s="692" t="s">
        <v>978</v>
      </c>
      <c r="U4" s="692" t="s">
        <v>979</v>
      </c>
      <c r="V4" s="692" t="s">
        <v>980</v>
      </c>
      <c r="W4" s="692" t="s">
        <v>981</v>
      </c>
      <c r="X4" s="692" t="s">
        <v>982</v>
      </c>
      <c r="Y4" s="692" t="s">
        <v>983</v>
      </c>
      <c r="Z4" s="692" t="s">
        <v>984</v>
      </c>
      <c r="AA4" s="692" t="s">
        <v>985</v>
      </c>
      <c r="AB4" s="692" t="s">
        <v>986</v>
      </c>
      <c r="AC4" s="692" t="s">
        <v>987</v>
      </c>
      <c r="AD4" s="692" t="s">
        <v>988</v>
      </c>
      <c r="AE4" s="692" t="s">
        <v>989</v>
      </c>
      <c r="AF4" s="692" t="s">
        <v>990</v>
      </c>
      <c r="AG4" s="692" t="s">
        <v>991</v>
      </c>
      <c r="AH4" s="692" t="s">
        <v>992</v>
      </c>
      <c r="AI4" s="692" t="s">
        <v>993</v>
      </c>
      <c r="AJ4" s="692" t="s">
        <v>17</v>
      </c>
      <c r="AK4" s="692" t="s">
        <v>18</v>
      </c>
      <c r="AL4" s="692" t="s">
        <v>19</v>
      </c>
      <c r="AM4" s="692" t="s">
        <v>20</v>
      </c>
      <c r="AN4" s="692" t="s">
        <v>21</v>
      </c>
      <c r="AO4" s="692" t="s">
        <v>22</v>
      </c>
      <c r="AP4" s="692" t="s">
        <v>23</v>
      </c>
      <c r="AQ4" s="693" t="s">
        <v>24</v>
      </c>
    </row>
    <row r="5" spans="1:54" s="74" customFormat="1" ht="12">
      <c r="A5" s="2473" t="s">
        <v>34</v>
      </c>
      <c r="B5" s="2473"/>
      <c r="C5" s="695">
        <v>2.5000000000000001E-2</v>
      </c>
      <c r="D5" s="696">
        <f>IF(D3=1,+'Rents '!J110*12,'Rents '!I110*12)</f>
        <v>0</v>
      </c>
      <c r="E5" s="697">
        <f t="shared" ref="E5:Q5" si="0">D5*(1+$C$5)</f>
        <v>0</v>
      </c>
      <c r="F5" s="697">
        <f t="shared" si="0"/>
        <v>0</v>
      </c>
      <c r="G5" s="697">
        <f t="shared" si="0"/>
        <v>0</v>
      </c>
      <c r="H5" s="697">
        <f t="shared" si="0"/>
        <v>0</v>
      </c>
      <c r="I5" s="697">
        <f t="shared" si="0"/>
        <v>0</v>
      </c>
      <c r="J5" s="697">
        <f t="shared" si="0"/>
        <v>0</v>
      </c>
      <c r="K5" s="697">
        <f t="shared" si="0"/>
        <v>0</v>
      </c>
      <c r="L5" s="697">
        <f t="shared" si="0"/>
        <v>0</v>
      </c>
      <c r="M5" s="697">
        <f t="shared" si="0"/>
        <v>0</v>
      </c>
      <c r="N5" s="697">
        <f t="shared" si="0"/>
        <v>0</v>
      </c>
      <c r="O5" s="697">
        <f t="shared" si="0"/>
        <v>0</v>
      </c>
      <c r="P5" s="697">
        <f t="shared" si="0"/>
        <v>0</v>
      </c>
      <c r="Q5" s="697">
        <f t="shared" si="0"/>
        <v>0</v>
      </c>
      <c r="R5" s="697">
        <f>Q5*(1+$C$5)</f>
        <v>0</v>
      </c>
      <c r="S5" s="697">
        <f t="shared" ref="S5:AQ5" si="1">R5*(1+$C$5)</f>
        <v>0</v>
      </c>
      <c r="T5" s="697">
        <f t="shared" si="1"/>
        <v>0</v>
      </c>
      <c r="U5" s="697">
        <f t="shared" si="1"/>
        <v>0</v>
      </c>
      <c r="V5" s="697">
        <f t="shared" si="1"/>
        <v>0</v>
      </c>
      <c r="W5" s="697">
        <f t="shared" si="1"/>
        <v>0</v>
      </c>
      <c r="X5" s="697">
        <f t="shared" si="1"/>
        <v>0</v>
      </c>
      <c r="Y5" s="697">
        <f t="shared" si="1"/>
        <v>0</v>
      </c>
      <c r="Z5" s="697">
        <f t="shared" si="1"/>
        <v>0</v>
      </c>
      <c r="AA5" s="697">
        <f t="shared" si="1"/>
        <v>0</v>
      </c>
      <c r="AB5" s="697">
        <f t="shared" si="1"/>
        <v>0</v>
      </c>
      <c r="AC5" s="697">
        <f t="shared" si="1"/>
        <v>0</v>
      </c>
      <c r="AD5" s="697">
        <f t="shared" si="1"/>
        <v>0</v>
      </c>
      <c r="AE5" s="697">
        <f t="shared" si="1"/>
        <v>0</v>
      </c>
      <c r="AF5" s="697">
        <f t="shared" si="1"/>
        <v>0</v>
      </c>
      <c r="AG5" s="697">
        <f t="shared" si="1"/>
        <v>0</v>
      </c>
      <c r="AH5" s="697">
        <f t="shared" si="1"/>
        <v>0</v>
      </c>
      <c r="AI5" s="697">
        <f t="shared" si="1"/>
        <v>0</v>
      </c>
      <c r="AJ5" s="697">
        <f t="shared" si="1"/>
        <v>0</v>
      </c>
      <c r="AK5" s="697">
        <f t="shared" si="1"/>
        <v>0</v>
      </c>
      <c r="AL5" s="697">
        <f t="shared" si="1"/>
        <v>0</v>
      </c>
      <c r="AM5" s="697">
        <f t="shared" si="1"/>
        <v>0</v>
      </c>
      <c r="AN5" s="697">
        <f t="shared" si="1"/>
        <v>0</v>
      </c>
      <c r="AO5" s="697">
        <f t="shared" si="1"/>
        <v>0</v>
      </c>
      <c r="AP5" s="697">
        <f t="shared" si="1"/>
        <v>0</v>
      </c>
      <c r="AQ5" s="697">
        <f t="shared" si="1"/>
        <v>0</v>
      </c>
    </row>
    <row r="6" spans="1:54" s="74" customFormat="1" ht="12">
      <c r="A6" s="2473" t="s">
        <v>450</v>
      </c>
      <c r="B6" s="2473"/>
      <c r="C6" s="698">
        <v>2.5000000000000001E-2</v>
      </c>
      <c r="D6" s="699">
        <f>+'Rents '!I124*12</f>
        <v>0</v>
      </c>
      <c r="E6" s="697">
        <f t="shared" ref="E6:Q6" si="2">D6*(1+$C$6)</f>
        <v>0</v>
      </c>
      <c r="F6" s="697">
        <f t="shared" si="2"/>
        <v>0</v>
      </c>
      <c r="G6" s="697">
        <f t="shared" si="2"/>
        <v>0</v>
      </c>
      <c r="H6" s="697">
        <f t="shared" si="2"/>
        <v>0</v>
      </c>
      <c r="I6" s="697">
        <f t="shared" si="2"/>
        <v>0</v>
      </c>
      <c r="J6" s="697">
        <f t="shared" si="2"/>
        <v>0</v>
      </c>
      <c r="K6" s="697">
        <f t="shared" si="2"/>
        <v>0</v>
      </c>
      <c r="L6" s="697">
        <f t="shared" si="2"/>
        <v>0</v>
      </c>
      <c r="M6" s="697">
        <f t="shared" si="2"/>
        <v>0</v>
      </c>
      <c r="N6" s="697">
        <f t="shared" si="2"/>
        <v>0</v>
      </c>
      <c r="O6" s="697">
        <f t="shared" si="2"/>
        <v>0</v>
      </c>
      <c r="P6" s="697">
        <f t="shared" si="2"/>
        <v>0</v>
      </c>
      <c r="Q6" s="697">
        <f t="shared" si="2"/>
        <v>0</v>
      </c>
      <c r="R6" s="697">
        <f>Q6*(1+$C$6)</f>
        <v>0</v>
      </c>
      <c r="S6" s="697">
        <f t="shared" ref="S6:AQ6" si="3">R6*(1+$C$6)</f>
        <v>0</v>
      </c>
      <c r="T6" s="697">
        <f t="shared" si="3"/>
        <v>0</v>
      </c>
      <c r="U6" s="697">
        <f t="shared" si="3"/>
        <v>0</v>
      </c>
      <c r="V6" s="697">
        <f t="shared" si="3"/>
        <v>0</v>
      </c>
      <c r="W6" s="697">
        <f t="shared" si="3"/>
        <v>0</v>
      </c>
      <c r="X6" s="697">
        <f t="shared" si="3"/>
        <v>0</v>
      </c>
      <c r="Y6" s="697">
        <f t="shared" si="3"/>
        <v>0</v>
      </c>
      <c r="Z6" s="697">
        <f t="shared" si="3"/>
        <v>0</v>
      </c>
      <c r="AA6" s="697">
        <f t="shared" si="3"/>
        <v>0</v>
      </c>
      <c r="AB6" s="697">
        <f t="shared" si="3"/>
        <v>0</v>
      </c>
      <c r="AC6" s="697">
        <f t="shared" si="3"/>
        <v>0</v>
      </c>
      <c r="AD6" s="697">
        <f t="shared" si="3"/>
        <v>0</v>
      </c>
      <c r="AE6" s="697">
        <f t="shared" si="3"/>
        <v>0</v>
      </c>
      <c r="AF6" s="697">
        <f t="shared" si="3"/>
        <v>0</v>
      </c>
      <c r="AG6" s="697">
        <f t="shared" si="3"/>
        <v>0</v>
      </c>
      <c r="AH6" s="697">
        <f t="shared" si="3"/>
        <v>0</v>
      </c>
      <c r="AI6" s="697">
        <f t="shared" si="3"/>
        <v>0</v>
      </c>
      <c r="AJ6" s="697">
        <f t="shared" si="3"/>
        <v>0</v>
      </c>
      <c r="AK6" s="697">
        <f t="shared" si="3"/>
        <v>0</v>
      </c>
      <c r="AL6" s="697">
        <f t="shared" si="3"/>
        <v>0</v>
      </c>
      <c r="AM6" s="697">
        <f t="shared" si="3"/>
        <v>0</v>
      </c>
      <c r="AN6" s="697">
        <f t="shared" si="3"/>
        <v>0</v>
      </c>
      <c r="AO6" s="697">
        <f t="shared" si="3"/>
        <v>0</v>
      </c>
      <c r="AP6" s="697">
        <f t="shared" si="3"/>
        <v>0</v>
      </c>
      <c r="AQ6" s="697">
        <f t="shared" si="3"/>
        <v>0</v>
      </c>
    </row>
    <row r="7" spans="1:54" s="74" customFormat="1" ht="12">
      <c r="A7" s="2476" t="s">
        <v>837</v>
      </c>
      <c r="B7" s="2476"/>
      <c r="C7" s="698"/>
      <c r="D7" s="699"/>
      <c r="E7" s="697"/>
      <c r="F7" s="697"/>
      <c r="G7" s="697"/>
      <c r="H7" s="697"/>
      <c r="I7" s="697"/>
      <c r="J7" s="697"/>
      <c r="K7" s="697"/>
      <c r="L7" s="697"/>
      <c r="M7" s="697"/>
      <c r="N7" s="697"/>
      <c r="O7" s="697"/>
      <c r="P7" s="697"/>
      <c r="Q7" s="697"/>
      <c r="R7" s="697"/>
      <c r="S7" s="697"/>
      <c r="T7" s="697"/>
      <c r="U7" s="697"/>
      <c r="V7" s="697"/>
      <c r="W7" s="697"/>
      <c r="X7" s="697"/>
      <c r="Y7" s="697"/>
      <c r="Z7" s="697"/>
      <c r="AA7" s="697"/>
      <c r="AB7" s="697"/>
      <c r="AC7" s="697"/>
      <c r="AD7" s="697"/>
      <c r="AE7" s="697"/>
      <c r="AF7" s="697"/>
      <c r="AG7" s="697"/>
      <c r="AH7" s="697"/>
      <c r="AI7" s="697"/>
      <c r="AJ7" s="697"/>
      <c r="AK7" s="697"/>
      <c r="AL7" s="697"/>
      <c r="AM7" s="697"/>
      <c r="AN7" s="697"/>
      <c r="AO7" s="697"/>
      <c r="AP7" s="697"/>
      <c r="AQ7" s="697"/>
    </row>
    <row r="8" spans="1:54" s="74" customFormat="1" ht="12">
      <c r="A8" s="700" t="s">
        <v>205</v>
      </c>
      <c r="B8" s="701" t="str">
        <f>IF(ISTEXT(Subsidies!F13),Subsidies!F13," ")</f>
        <v xml:space="preserve"> </v>
      </c>
      <c r="C8" s="698">
        <v>2.5000000000000001E-2</v>
      </c>
      <c r="D8" s="702">
        <f>+'Operating '!D36</f>
        <v>0</v>
      </c>
      <c r="E8" s="703">
        <f>D8*(1+$C$8)</f>
        <v>0</v>
      </c>
      <c r="F8" s="703">
        <f>E8*(1+$C$8)</f>
        <v>0</v>
      </c>
      <c r="G8" s="703">
        <f t="shared" ref="G8:Q8" si="4">F8*(1+$C$8)</f>
        <v>0</v>
      </c>
      <c r="H8" s="703">
        <f t="shared" si="4"/>
        <v>0</v>
      </c>
      <c r="I8" s="703">
        <f t="shared" si="4"/>
        <v>0</v>
      </c>
      <c r="J8" s="703">
        <f t="shared" si="4"/>
        <v>0</v>
      </c>
      <c r="K8" s="703">
        <f t="shared" si="4"/>
        <v>0</v>
      </c>
      <c r="L8" s="703">
        <f t="shared" si="4"/>
        <v>0</v>
      </c>
      <c r="M8" s="703">
        <f t="shared" si="4"/>
        <v>0</v>
      </c>
      <c r="N8" s="703">
        <f t="shared" si="4"/>
        <v>0</v>
      </c>
      <c r="O8" s="703">
        <f t="shared" si="4"/>
        <v>0</v>
      </c>
      <c r="P8" s="703">
        <f t="shared" si="4"/>
        <v>0</v>
      </c>
      <c r="Q8" s="703">
        <f t="shared" si="4"/>
        <v>0</v>
      </c>
      <c r="R8" s="703">
        <f>Q8*(1+$C$8)</f>
        <v>0</v>
      </c>
      <c r="S8" s="703">
        <f t="shared" ref="S8:AQ8" si="5">R8*(1+$C$8)</f>
        <v>0</v>
      </c>
      <c r="T8" s="703">
        <f t="shared" si="5"/>
        <v>0</v>
      </c>
      <c r="U8" s="703">
        <f t="shared" si="5"/>
        <v>0</v>
      </c>
      <c r="V8" s="703">
        <f t="shared" si="5"/>
        <v>0</v>
      </c>
      <c r="W8" s="703">
        <f t="shared" si="5"/>
        <v>0</v>
      </c>
      <c r="X8" s="703">
        <f t="shared" si="5"/>
        <v>0</v>
      </c>
      <c r="Y8" s="703">
        <f t="shared" si="5"/>
        <v>0</v>
      </c>
      <c r="Z8" s="703">
        <f t="shared" si="5"/>
        <v>0</v>
      </c>
      <c r="AA8" s="703">
        <f t="shared" si="5"/>
        <v>0</v>
      </c>
      <c r="AB8" s="703">
        <f t="shared" si="5"/>
        <v>0</v>
      </c>
      <c r="AC8" s="703">
        <f t="shared" si="5"/>
        <v>0</v>
      </c>
      <c r="AD8" s="703">
        <f t="shared" si="5"/>
        <v>0</v>
      </c>
      <c r="AE8" s="703">
        <f t="shared" si="5"/>
        <v>0</v>
      </c>
      <c r="AF8" s="703">
        <f t="shared" si="5"/>
        <v>0</v>
      </c>
      <c r="AG8" s="703">
        <f t="shared" si="5"/>
        <v>0</v>
      </c>
      <c r="AH8" s="703">
        <f t="shared" si="5"/>
        <v>0</v>
      </c>
      <c r="AI8" s="703">
        <f t="shared" si="5"/>
        <v>0</v>
      </c>
      <c r="AJ8" s="703">
        <f t="shared" si="5"/>
        <v>0</v>
      </c>
      <c r="AK8" s="703">
        <f t="shared" si="5"/>
        <v>0</v>
      </c>
      <c r="AL8" s="703">
        <f t="shared" si="5"/>
        <v>0</v>
      </c>
      <c r="AM8" s="703">
        <f t="shared" si="5"/>
        <v>0</v>
      </c>
      <c r="AN8" s="703">
        <f t="shared" si="5"/>
        <v>0</v>
      </c>
      <c r="AO8" s="703">
        <f t="shared" si="5"/>
        <v>0</v>
      </c>
      <c r="AP8" s="703">
        <f t="shared" si="5"/>
        <v>0</v>
      </c>
      <c r="AQ8" s="703">
        <f t="shared" si="5"/>
        <v>0</v>
      </c>
      <c r="AR8" s="704"/>
      <c r="AS8" s="704"/>
      <c r="AT8" s="704"/>
      <c r="AU8" s="704"/>
      <c r="AV8" s="704"/>
      <c r="AW8" s="704"/>
      <c r="AX8" s="704"/>
      <c r="AY8" s="704"/>
      <c r="AZ8" s="704"/>
      <c r="BA8" s="704"/>
      <c r="BB8" s="704"/>
    </row>
    <row r="9" spans="1:54" s="74" customFormat="1" ht="12">
      <c r="A9" s="705" t="s">
        <v>205</v>
      </c>
      <c r="B9" s="701" t="str">
        <f>IF(ISTEXT(Subsidies!K13),Subsidies!K13," ")</f>
        <v xml:space="preserve"> </v>
      </c>
      <c r="C9" s="698">
        <v>2.5000000000000001E-2</v>
      </c>
      <c r="D9" s="702">
        <f>+'Operating '!D37</f>
        <v>0</v>
      </c>
      <c r="E9" s="703">
        <f>D9*(1+$C$9)</f>
        <v>0</v>
      </c>
      <c r="F9" s="703">
        <f>E9*(1+$C$9)</f>
        <v>0</v>
      </c>
      <c r="G9" s="703">
        <f t="shared" ref="G9:Q9" si="6">F9*(1+$C$9)</f>
        <v>0</v>
      </c>
      <c r="H9" s="703">
        <f t="shared" si="6"/>
        <v>0</v>
      </c>
      <c r="I9" s="703">
        <f t="shared" si="6"/>
        <v>0</v>
      </c>
      <c r="J9" s="703">
        <f t="shared" si="6"/>
        <v>0</v>
      </c>
      <c r="K9" s="703">
        <f t="shared" si="6"/>
        <v>0</v>
      </c>
      <c r="L9" s="703">
        <f t="shared" si="6"/>
        <v>0</v>
      </c>
      <c r="M9" s="703">
        <f t="shared" si="6"/>
        <v>0</v>
      </c>
      <c r="N9" s="703">
        <f t="shared" si="6"/>
        <v>0</v>
      </c>
      <c r="O9" s="703">
        <f t="shared" si="6"/>
        <v>0</v>
      </c>
      <c r="P9" s="703">
        <f t="shared" si="6"/>
        <v>0</v>
      </c>
      <c r="Q9" s="703">
        <f t="shared" si="6"/>
        <v>0</v>
      </c>
      <c r="R9" s="703">
        <f>Q9*(1+$C$9)</f>
        <v>0</v>
      </c>
      <c r="S9" s="703">
        <f t="shared" ref="S9:AQ9" si="7">R9*(1+$C$9)</f>
        <v>0</v>
      </c>
      <c r="T9" s="703">
        <f t="shared" si="7"/>
        <v>0</v>
      </c>
      <c r="U9" s="703">
        <f t="shared" si="7"/>
        <v>0</v>
      </c>
      <c r="V9" s="703">
        <f t="shared" si="7"/>
        <v>0</v>
      </c>
      <c r="W9" s="703">
        <f t="shared" si="7"/>
        <v>0</v>
      </c>
      <c r="X9" s="703">
        <f t="shared" si="7"/>
        <v>0</v>
      </c>
      <c r="Y9" s="703">
        <f t="shared" si="7"/>
        <v>0</v>
      </c>
      <c r="Z9" s="703">
        <f t="shared" si="7"/>
        <v>0</v>
      </c>
      <c r="AA9" s="703">
        <f t="shared" si="7"/>
        <v>0</v>
      </c>
      <c r="AB9" s="703">
        <f t="shared" si="7"/>
        <v>0</v>
      </c>
      <c r="AC9" s="703">
        <f t="shared" si="7"/>
        <v>0</v>
      </c>
      <c r="AD9" s="703">
        <f t="shared" si="7"/>
        <v>0</v>
      </c>
      <c r="AE9" s="703">
        <f t="shared" si="7"/>
        <v>0</v>
      </c>
      <c r="AF9" s="703">
        <f t="shared" si="7"/>
        <v>0</v>
      </c>
      <c r="AG9" s="703">
        <f t="shared" si="7"/>
        <v>0</v>
      </c>
      <c r="AH9" s="703">
        <f t="shared" si="7"/>
        <v>0</v>
      </c>
      <c r="AI9" s="703">
        <f t="shared" si="7"/>
        <v>0</v>
      </c>
      <c r="AJ9" s="703">
        <f t="shared" si="7"/>
        <v>0</v>
      </c>
      <c r="AK9" s="703">
        <f t="shared" si="7"/>
        <v>0</v>
      </c>
      <c r="AL9" s="703">
        <f t="shared" si="7"/>
        <v>0</v>
      </c>
      <c r="AM9" s="703">
        <f t="shared" si="7"/>
        <v>0</v>
      </c>
      <c r="AN9" s="703">
        <f t="shared" si="7"/>
        <v>0</v>
      </c>
      <c r="AO9" s="703">
        <f t="shared" si="7"/>
        <v>0</v>
      </c>
      <c r="AP9" s="703">
        <f t="shared" si="7"/>
        <v>0</v>
      </c>
      <c r="AQ9" s="703">
        <f t="shared" si="7"/>
        <v>0</v>
      </c>
      <c r="AR9" s="704"/>
      <c r="AS9" s="704"/>
      <c r="AT9" s="704"/>
      <c r="AU9" s="704"/>
      <c r="AV9" s="704"/>
      <c r="AW9" s="704"/>
      <c r="AX9" s="704"/>
      <c r="AY9" s="704"/>
      <c r="AZ9" s="704"/>
      <c r="BA9" s="704"/>
      <c r="BB9" s="704"/>
    </row>
    <row r="10" spans="1:54" s="74" customFormat="1" ht="12">
      <c r="A10" s="704" t="s">
        <v>393</v>
      </c>
      <c r="B10" s="706"/>
      <c r="C10" s="698">
        <v>0.02</v>
      </c>
      <c r="D10" s="707">
        <f>'Operating '!D38</f>
        <v>0</v>
      </c>
      <c r="E10" s="708">
        <f>D10*(1+$C$10)</f>
        <v>0</v>
      </c>
      <c r="F10" s="708">
        <f t="shared" ref="F10:Q10" si="8">E10*(1+$C$10)</f>
        <v>0</v>
      </c>
      <c r="G10" s="708">
        <f t="shared" si="8"/>
        <v>0</v>
      </c>
      <c r="H10" s="708">
        <f t="shared" si="8"/>
        <v>0</v>
      </c>
      <c r="I10" s="708">
        <f t="shared" si="8"/>
        <v>0</v>
      </c>
      <c r="J10" s="708">
        <f t="shared" si="8"/>
        <v>0</v>
      </c>
      <c r="K10" s="708">
        <f t="shared" si="8"/>
        <v>0</v>
      </c>
      <c r="L10" s="708">
        <f t="shared" si="8"/>
        <v>0</v>
      </c>
      <c r="M10" s="708">
        <f t="shared" si="8"/>
        <v>0</v>
      </c>
      <c r="N10" s="708">
        <f t="shared" si="8"/>
        <v>0</v>
      </c>
      <c r="O10" s="708">
        <f t="shared" si="8"/>
        <v>0</v>
      </c>
      <c r="P10" s="708">
        <f t="shared" si="8"/>
        <v>0</v>
      </c>
      <c r="Q10" s="708">
        <f t="shared" si="8"/>
        <v>0</v>
      </c>
      <c r="R10" s="708">
        <f>Q10*(1+$C$10)</f>
        <v>0</v>
      </c>
      <c r="S10" s="708">
        <f t="shared" ref="S10:AQ10" si="9">R10*(1+$C$10)</f>
        <v>0</v>
      </c>
      <c r="T10" s="708">
        <f t="shared" si="9"/>
        <v>0</v>
      </c>
      <c r="U10" s="708">
        <f t="shared" si="9"/>
        <v>0</v>
      </c>
      <c r="V10" s="708">
        <f t="shared" si="9"/>
        <v>0</v>
      </c>
      <c r="W10" s="708">
        <f t="shared" si="9"/>
        <v>0</v>
      </c>
      <c r="X10" s="708">
        <f t="shared" si="9"/>
        <v>0</v>
      </c>
      <c r="Y10" s="708">
        <f t="shared" si="9"/>
        <v>0</v>
      </c>
      <c r="Z10" s="708">
        <f t="shared" si="9"/>
        <v>0</v>
      </c>
      <c r="AA10" s="708">
        <f t="shared" si="9"/>
        <v>0</v>
      </c>
      <c r="AB10" s="708">
        <f t="shared" si="9"/>
        <v>0</v>
      </c>
      <c r="AC10" s="708">
        <f t="shared" si="9"/>
        <v>0</v>
      </c>
      <c r="AD10" s="708">
        <f t="shared" si="9"/>
        <v>0</v>
      </c>
      <c r="AE10" s="708">
        <f t="shared" si="9"/>
        <v>0</v>
      </c>
      <c r="AF10" s="708">
        <f t="shared" si="9"/>
        <v>0</v>
      </c>
      <c r="AG10" s="708">
        <f t="shared" si="9"/>
        <v>0</v>
      </c>
      <c r="AH10" s="708">
        <f t="shared" si="9"/>
        <v>0</v>
      </c>
      <c r="AI10" s="708">
        <f t="shared" si="9"/>
        <v>0</v>
      </c>
      <c r="AJ10" s="708">
        <f t="shared" si="9"/>
        <v>0</v>
      </c>
      <c r="AK10" s="708">
        <f t="shared" si="9"/>
        <v>0</v>
      </c>
      <c r="AL10" s="708">
        <f t="shared" si="9"/>
        <v>0</v>
      </c>
      <c r="AM10" s="708">
        <f t="shared" si="9"/>
        <v>0</v>
      </c>
      <c r="AN10" s="708">
        <f t="shared" si="9"/>
        <v>0</v>
      </c>
      <c r="AO10" s="708">
        <f t="shared" si="9"/>
        <v>0</v>
      </c>
      <c r="AP10" s="708">
        <f t="shared" si="9"/>
        <v>0</v>
      </c>
      <c r="AQ10" s="708">
        <f t="shared" si="9"/>
        <v>0</v>
      </c>
      <c r="AR10" s="704"/>
      <c r="AS10" s="704"/>
      <c r="AT10" s="704"/>
      <c r="AU10" s="704"/>
      <c r="AV10" s="704"/>
      <c r="AW10" s="704"/>
      <c r="AX10" s="704"/>
      <c r="AY10" s="704"/>
      <c r="AZ10" s="704"/>
      <c r="BA10" s="704"/>
      <c r="BB10" s="704"/>
    </row>
    <row r="11" spans="1:54" s="74" customFormat="1" ht="12">
      <c r="A11" s="2475" t="str">
        <f>'Operating '!C39</f>
        <v>Other: (specify)</v>
      </c>
      <c r="B11" s="2475"/>
      <c r="C11" s="698">
        <f>C8</f>
        <v>2.5000000000000001E-2</v>
      </c>
      <c r="D11" s="709">
        <v>0</v>
      </c>
      <c r="E11" s="710">
        <v>0</v>
      </c>
      <c r="F11" s="710">
        <v>0</v>
      </c>
      <c r="G11" s="710">
        <v>0</v>
      </c>
      <c r="H11" s="710">
        <v>0</v>
      </c>
      <c r="I11" s="710">
        <v>0</v>
      </c>
      <c r="J11" s="710">
        <v>0</v>
      </c>
      <c r="K11" s="710">
        <v>0</v>
      </c>
      <c r="L11" s="710">
        <v>0</v>
      </c>
      <c r="M11" s="710">
        <v>0</v>
      </c>
      <c r="N11" s="710">
        <v>0</v>
      </c>
      <c r="O11" s="710">
        <v>0</v>
      </c>
      <c r="P11" s="710">
        <v>0</v>
      </c>
      <c r="Q11" s="710">
        <v>0</v>
      </c>
      <c r="R11" s="710">
        <v>0</v>
      </c>
      <c r="S11" s="710">
        <v>0</v>
      </c>
      <c r="T11" s="710">
        <v>0</v>
      </c>
      <c r="U11" s="710">
        <v>0</v>
      </c>
      <c r="V11" s="710">
        <v>0</v>
      </c>
      <c r="W11" s="710">
        <v>0</v>
      </c>
      <c r="X11" s="710">
        <v>0</v>
      </c>
      <c r="Y11" s="710">
        <v>0</v>
      </c>
      <c r="Z11" s="710">
        <v>0</v>
      </c>
      <c r="AA11" s="710">
        <v>0</v>
      </c>
      <c r="AB11" s="710">
        <v>0</v>
      </c>
      <c r="AC11" s="710">
        <v>0</v>
      </c>
      <c r="AD11" s="710">
        <v>0</v>
      </c>
      <c r="AE11" s="710">
        <v>0</v>
      </c>
      <c r="AF11" s="710">
        <v>0</v>
      </c>
      <c r="AG11" s="710">
        <v>0</v>
      </c>
      <c r="AH11" s="710">
        <v>0</v>
      </c>
      <c r="AI11" s="710">
        <v>0</v>
      </c>
      <c r="AJ11" s="710">
        <v>0</v>
      </c>
      <c r="AK11" s="710">
        <v>0</v>
      </c>
      <c r="AL11" s="710">
        <v>0</v>
      </c>
      <c r="AM11" s="710">
        <v>0</v>
      </c>
      <c r="AN11" s="710">
        <v>0</v>
      </c>
      <c r="AO11" s="710">
        <v>0</v>
      </c>
      <c r="AP11" s="710">
        <v>0</v>
      </c>
      <c r="AQ11" s="710">
        <v>0</v>
      </c>
    </row>
    <row r="12" spans="1:54" s="74" customFormat="1" thickBot="1">
      <c r="A12" s="711" t="s">
        <v>845</v>
      </c>
      <c r="B12" s="711"/>
      <c r="C12" s="712"/>
      <c r="D12" s="713">
        <f t="shared" ref="D12:AQ12" si="10">SUM(D5:D11)</f>
        <v>0</v>
      </c>
      <c r="E12" s="714">
        <f t="shared" si="10"/>
        <v>0</v>
      </c>
      <c r="F12" s="714">
        <f t="shared" si="10"/>
        <v>0</v>
      </c>
      <c r="G12" s="714">
        <f t="shared" si="10"/>
        <v>0</v>
      </c>
      <c r="H12" s="714">
        <f t="shared" si="10"/>
        <v>0</v>
      </c>
      <c r="I12" s="714">
        <f t="shared" si="10"/>
        <v>0</v>
      </c>
      <c r="J12" s="714">
        <f t="shared" si="10"/>
        <v>0</v>
      </c>
      <c r="K12" s="714">
        <f t="shared" si="10"/>
        <v>0</v>
      </c>
      <c r="L12" s="714">
        <f t="shared" si="10"/>
        <v>0</v>
      </c>
      <c r="M12" s="714">
        <f t="shared" si="10"/>
        <v>0</v>
      </c>
      <c r="N12" s="714">
        <f t="shared" si="10"/>
        <v>0</v>
      </c>
      <c r="O12" s="714">
        <f t="shared" si="10"/>
        <v>0</v>
      </c>
      <c r="P12" s="714">
        <f t="shared" si="10"/>
        <v>0</v>
      </c>
      <c r="Q12" s="714">
        <f t="shared" si="10"/>
        <v>0</v>
      </c>
      <c r="R12" s="714">
        <f t="shared" si="10"/>
        <v>0</v>
      </c>
      <c r="S12" s="714">
        <f t="shared" si="10"/>
        <v>0</v>
      </c>
      <c r="T12" s="714">
        <f t="shared" si="10"/>
        <v>0</v>
      </c>
      <c r="U12" s="714">
        <f t="shared" si="10"/>
        <v>0</v>
      </c>
      <c r="V12" s="714">
        <f t="shared" si="10"/>
        <v>0</v>
      </c>
      <c r="W12" s="714">
        <f t="shared" si="10"/>
        <v>0</v>
      </c>
      <c r="X12" s="714">
        <f t="shared" si="10"/>
        <v>0</v>
      </c>
      <c r="Y12" s="714">
        <f t="shared" si="10"/>
        <v>0</v>
      </c>
      <c r="Z12" s="714">
        <f t="shared" si="10"/>
        <v>0</v>
      </c>
      <c r="AA12" s="714">
        <f t="shared" si="10"/>
        <v>0</v>
      </c>
      <c r="AB12" s="714">
        <f t="shared" si="10"/>
        <v>0</v>
      </c>
      <c r="AC12" s="714">
        <f t="shared" si="10"/>
        <v>0</v>
      </c>
      <c r="AD12" s="714">
        <f t="shared" si="10"/>
        <v>0</v>
      </c>
      <c r="AE12" s="714">
        <f t="shared" si="10"/>
        <v>0</v>
      </c>
      <c r="AF12" s="714">
        <f t="shared" si="10"/>
        <v>0</v>
      </c>
      <c r="AG12" s="714">
        <f t="shared" si="10"/>
        <v>0</v>
      </c>
      <c r="AH12" s="714">
        <f t="shared" si="10"/>
        <v>0</v>
      </c>
      <c r="AI12" s="714">
        <f t="shared" si="10"/>
        <v>0</v>
      </c>
      <c r="AJ12" s="714">
        <f t="shared" si="10"/>
        <v>0</v>
      </c>
      <c r="AK12" s="714">
        <f t="shared" si="10"/>
        <v>0</v>
      </c>
      <c r="AL12" s="714">
        <f t="shared" si="10"/>
        <v>0</v>
      </c>
      <c r="AM12" s="714">
        <f t="shared" si="10"/>
        <v>0</v>
      </c>
      <c r="AN12" s="714">
        <f t="shared" si="10"/>
        <v>0</v>
      </c>
      <c r="AO12" s="714">
        <f t="shared" si="10"/>
        <v>0</v>
      </c>
      <c r="AP12" s="714">
        <f t="shared" si="10"/>
        <v>0</v>
      </c>
      <c r="AQ12" s="714">
        <f t="shared" si="10"/>
        <v>0</v>
      </c>
    </row>
    <row r="13" spans="1:54" s="74" customFormat="1" ht="6" customHeight="1" thickTop="1">
      <c r="A13" s="715"/>
      <c r="B13" s="715"/>
      <c r="C13" s="712"/>
      <c r="D13" s="702"/>
      <c r="E13" s="697"/>
      <c r="F13" s="697"/>
      <c r="G13" s="697"/>
      <c r="H13" s="697"/>
      <c r="I13" s="697"/>
      <c r="J13" s="697"/>
      <c r="K13" s="697"/>
      <c r="L13" s="697"/>
      <c r="M13" s="697"/>
      <c r="N13" s="697"/>
      <c r="O13" s="697"/>
      <c r="P13" s="697"/>
      <c r="Q13" s="697"/>
      <c r="R13" s="697"/>
      <c r="S13" s="716"/>
      <c r="T13" s="716"/>
      <c r="U13" s="716"/>
      <c r="V13" s="716"/>
      <c r="W13" s="716"/>
      <c r="X13" s="716"/>
      <c r="Y13" s="716"/>
      <c r="Z13" s="716"/>
      <c r="AA13" s="716"/>
      <c r="AB13" s="716"/>
      <c r="AC13" s="716"/>
      <c r="AD13" s="716"/>
      <c r="AE13" s="716"/>
      <c r="AF13" s="716"/>
      <c r="AG13" s="716"/>
      <c r="AH13" s="716"/>
      <c r="AI13" s="716"/>
      <c r="AJ13" s="716"/>
      <c r="AK13" s="716"/>
      <c r="AL13" s="716"/>
      <c r="AM13" s="716"/>
      <c r="AN13" s="716"/>
      <c r="AO13" s="716"/>
      <c r="AP13" s="716"/>
      <c r="AQ13" s="716"/>
    </row>
    <row r="14" spans="1:54" s="74" customFormat="1" ht="12">
      <c r="A14" s="688" t="s">
        <v>25</v>
      </c>
      <c r="B14" s="688"/>
      <c r="C14" s="717"/>
      <c r="D14" s="718"/>
      <c r="E14" s="719"/>
      <c r="F14" s="719"/>
      <c r="G14" s="719"/>
      <c r="H14" s="719"/>
      <c r="I14" s="719"/>
      <c r="J14" s="719"/>
      <c r="K14" s="719"/>
      <c r="L14" s="719"/>
      <c r="M14" s="719"/>
      <c r="N14" s="719"/>
      <c r="O14" s="719"/>
      <c r="P14" s="719"/>
      <c r="Q14" s="719"/>
      <c r="R14" s="719"/>
      <c r="S14" s="720"/>
      <c r="T14" s="720"/>
      <c r="U14" s="720"/>
      <c r="V14" s="720"/>
      <c r="W14" s="720"/>
      <c r="X14" s="720"/>
      <c r="Y14" s="720"/>
      <c r="Z14" s="720"/>
      <c r="AA14" s="720"/>
      <c r="AB14" s="720"/>
      <c r="AC14" s="720"/>
      <c r="AD14" s="720"/>
      <c r="AE14" s="720"/>
      <c r="AF14" s="720"/>
      <c r="AG14" s="720"/>
      <c r="AH14" s="720"/>
      <c r="AI14" s="720"/>
      <c r="AJ14" s="720"/>
      <c r="AK14" s="720"/>
      <c r="AL14" s="720"/>
      <c r="AM14" s="720"/>
      <c r="AN14" s="720"/>
      <c r="AO14" s="720"/>
      <c r="AP14" s="720"/>
      <c r="AQ14" s="720"/>
    </row>
    <row r="15" spans="1:54" s="74" customFormat="1" ht="12">
      <c r="A15" s="2473" t="s">
        <v>848</v>
      </c>
      <c r="B15" s="2473"/>
      <c r="C15" s="698">
        <v>2.5000000000000001E-2</v>
      </c>
      <c r="D15" s="702">
        <f>'Operating '!D40</f>
        <v>0</v>
      </c>
      <c r="E15" s="697">
        <f t="shared" ref="E15:Q15" si="11">D15*(1+$C$15)</f>
        <v>0</v>
      </c>
      <c r="F15" s="697">
        <f t="shared" si="11"/>
        <v>0</v>
      </c>
      <c r="G15" s="697">
        <f t="shared" si="11"/>
        <v>0</v>
      </c>
      <c r="H15" s="697">
        <f t="shared" si="11"/>
        <v>0</v>
      </c>
      <c r="I15" s="697">
        <f t="shared" si="11"/>
        <v>0</v>
      </c>
      <c r="J15" s="697">
        <f t="shared" si="11"/>
        <v>0</v>
      </c>
      <c r="K15" s="697">
        <f t="shared" si="11"/>
        <v>0</v>
      </c>
      <c r="L15" s="697">
        <f t="shared" si="11"/>
        <v>0</v>
      </c>
      <c r="M15" s="697">
        <f t="shared" si="11"/>
        <v>0</v>
      </c>
      <c r="N15" s="697">
        <f t="shared" si="11"/>
        <v>0</v>
      </c>
      <c r="O15" s="697">
        <f t="shared" si="11"/>
        <v>0</v>
      </c>
      <c r="P15" s="697">
        <f t="shared" si="11"/>
        <v>0</v>
      </c>
      <c r="Q15" s="697">
        <f t="shared" si="11"/>
        <v>0</v>
      </c>
      <c r="R15" s="697">
        <f>Q15*(1+$C$15)</f>
        <v>0</v>
      </c>
      <c r="S15" s="697">
        <f t="shared" ref="S15:AQ15" si="12">R15*(1+$C$15)</f>
        <v>0</v>
      </c>
      <c r="T15" s="697">
        <f t="shared" si="12"/>
        <v>0</v>
      </c>
      <c r="U15" s="697">
        <f t="shared" si="12"/>
        <v>0</v>
      </c>
      <c r="V15" s="697">
        <f t="shared" si="12"/>
        <v>0</v>
      </c>
      <c r="W15" s="697">
        <f t="shared" si="12"/>
        <v>0</v>
      </c>
      <c r="X15" s="697">
        <f t="shared" si="12"/>
        <v>0</v>
      </c>
      <c r="Y15" s="697">
        <f t="shared" si="12"/>
        <v>0</v>
      </c>
      <c r="Z15" s="697">
        <f t="shared" si="12"/>
        <v>0</v>
      </c>
      <c r="AA15" s="697">
        <f t="shared" si="12"/>
        <v>0</v>
      </c>
      <c r="AB15" s="697">
        <f t="shared" si="12"/>
        <v>0</v>
      </c>
      <c r="AC15" s="697">
        <f t="shared" si="12"/>
        <v>0</v>
      </c>
      <c r="AD15" s="697">
        <f t="shared" si="12"/>
        <v>0</v>
      </c>
      <c r="AE15" s="697">
        <f t="shared" si="12"/>
        <v>0</v>
      </c>
      <c r="AF15" s="697">
        <f t="shared" si="12"/>
        <v>0</v>
      </c>
      <c r="AG15" s="697">
        <f t="shared" si="12"/>
        <v>0</v>
      </c>
      <c r="AH15" s="697">
        <f t="shared" si="12"/>
        <v>0</v>
      </c>
      <c r="AI15" s="697">
        <f t="shared" si="12"/>
        <v>0</v>
      </c>
      <c r="AJ15" s="697">
        <f t="shared" si="12"/>
        <v>0</v>
      </c>
      <c r="AK15" s="697">
        <f t="shared" si="12"/>
        <v>0</v>
      </c>
      <c r="AL15" s="697">
        <f t="shared" si="12"/>
        <v>0</v>
      </c>
      <c r="AM15" s="697">
        <f t="shared" si="12"/>
        <v>0</v>
      </c>
      <c r="AN15" s="697">
        <f t="shared" si="12"/>
        <v>0</v>
      </c>
      <c r="AO15" s="697">
        <f t="shared" si="12"/>
        <v>0</v>
      </c>
      <c r="AP15" s="697">
        <f t="shared" si="12"/>
        <v>0</v>
      </c>
      <c r="AQ15" s="697">
        <f t="shared" si="12"/>
        <v>0</v>
      </c>
    </row>
    <row r="16" spans="1:54" s="74" customFormat="1" ht="12">
      <c r="A16" s="2474" t="s">
        <v>26</v>
      </c>
      <c r="B16" s="2474"/>
      <c r="C16" s="698">
        <v>2.5000000000000001E-2</v>
      </c>
      <c r="D16" s="721">
        <f>'Operating '!D41+'Operating '!D42</f>
        <v>0</v>
      </c>
      <c r="E16" s="722">
        <f t="shared" ref="E16:Q16" si="13">D16*(1+$C$16)</f>
        <v>0</v>
      </c>
      <c r="F16" s="722">
        <f t="shared" si="13"/>
        <v>0</v>
      </c>
      <c r="G16" s="722">
        <f t="shared" si="13"/>
        <v>0</v>
      </c>
      <c r="H16" s="722">
        <f t="shared" si="13"/>
        <v>0</v>
      </c>
      <c r="I16" s="722">
        <f t="shared" si="13"/>
        <v>0</v>
      </c>
      <c r="J16" s="722">
        <f t="shared" si="13"/>
        <v>0</v>
      </c>
      <c r="K16" s="722">
        <f t="shared" si="13"/>
        <v>0</v>
      </c>
      <c r="L16" s="722">
        <f t="shared" si="13"/>
        <v>0</v>
      </c>
      <c r="M16" s="722">
        <f t="shared" si="13"/>
        <v>0</v>
      </c>
      <c r="N16" s="722">
        <f t="shared" si="13"/>
        <v>0</v>
      </c>
      <c r="O16" s="722">
        <f t="shared" si="13"/>
        <v>0</v>
      </c>
      <c r="P16" s="722">
        <f t="shared" si="13"/>
        <v>0</v>
      </c>
      <c r="Q16" s="722">
        <f t="shared" si="13"/>
        <v>0</v>
      </c>
      <c r="R16" s="722">
        <f>Q16*(1+$C$16)</f>
        <v>0</v>
      </c>
      <c r="S16" s="722">
        <f t="shared" ref="S16:AQ16" si="14">R16*(1+$C$16)</f>
        <v>0</v>
      </c>
      <c r="T16" s="722">
        <f t="shared" si="14"/>
        <v>0</v>
      </c>
      <c r="U16" s="722">
        <f t="shared" si="14"/>
        <v>0</v>
      </c>
      <c r="V16" s="722">
        <f t="shared" si="14"/>
        <v>0</v>
      </c>
      <c r="W16" s="722">
        <f t="shared" si="14"/>
        <v>0</v>
      </c>
      <c r="X16" s="722">
        <f t="shared" si="14"/>
        <v>0</v>
      </c>
      <c r="Y16" s="722">
        <f t="shared" si="14"/>
        <v>0</v>
      </c>
      <c r="Z16" s="722">
        <f t="shared" si="14"/>
        <v>0</v>
      </c>
      <c r="AA16" s="722">
        <f t="shared" si="14"/>
        <v>0</v>
      </c>
      <c r="AB16" s="722">
        <f t="shared" si="14"/>
        <v>0</v>
      </c>
      <c r="AC16" s="722">
        <f t="shared" si="14"/>
        <v>0</v>
      </c>
      <c r="AD16" s="722">
        <f t="shared" si="14"/>
        <v>0</v>
      </c>
      <c r="AE16" s="722">
        <f t="shared" si="14"/>
        <v>0</v>
      </c>
      <c r="AF16" s="722">
        <f t="shared" si="14"/>
        <v>0</v>
      </c>
      <c r="AG16" s="722">
        <f t="shared" si="14"/>
        <v>0</v>
      </c>
      <c r="AH16" s="722">
        <f t="shared" si="14"/>
        <v>0</v>
      </c>
      <c r="AI16" s="722">
        <f t="shared" si="14"/>
        <v>0</v>
      </c>
      <c r="AJ16" s="722">
        <f t="shared" si="14"/>
        <v>0</v>
      </c>
      <c r="AK16" s="722">
        <f t="shared" si="14"/>
        <v>0</v>
      </c>
      <c r="AL16" s="722">
        <f t="shared" si="14"/>
        <v>0</v>
      </c>
      <c r="AM16" s="722">
        <f t="shared" si="14"/>
        <v>0</v>
      </c>
      <c r="AN16" s="722">
        <f t="shared" si="14"/>
        <v>0</v>
      </c>
      <c r="AO16" s="722">
        <f t="shared" si="14"/>
        <v>0</v>
      </c>
      <c r="AP16" s="722">
        <f t="shared" si="14"/>
        <v>0</v>
      </c>
      <c r="AQ16" s="722">
        <f t="shared" si="14"/>
        <v>0</v>
      </c>
    </row>
    <row r="17" spans="1:44" s="74" customFormat="1" ht="12">
      <c r="A17" s="1678" t="s">
        <v>27</v>
      </c>
      <c r="B17" s="1678"/>
      <c r="C17" s="698">
        <v>2.5000000000000001E-2</v>
      </c>
      <c r="D17" s="723">
        <f>'Operating '!E43</f>
        <v>0</v>
      </c>
      <c r="E17" s="724">
        <f t="shared" ref="E17:Q17" si="15">D17*(1+$C$17)</f>
        <v>0</v>
      </c>
      <c r="F17" s="724">
        <f t="shared" si="15"/>
        <v>0</v>
      </c>
      <c r="G17" s="724">
        <f t="shared" si="15"/>
        <v>0</v>
      </c>
      <c r="H17" s="724">
        <f t="shared" si="15"/>
        <v>0</v>
      </c>
      <c r="I17" s="724">
        <f t="shared" si="15"/>
        <v>0</v>
      </c>
      <c r="J17" s="724">
        <f t="shared" si="15"/>
        <v>0</v>
      </c>
      <c r="K17" s="724">
        <f t="shared" si="15"/>
        <v>0</v>
      </c>
      <c r="L17" s="724">
        <f t="shared" si="15"/>
        <v>0</v>
      </c>
      <c r="M17" s="724">
        <f t="shared" si="15"/>
        <v>0</v>
      </c>
      <c r="N17" s="724">
        <f t="shared" si="15"/>
        <v>0</v>
      </c>
      <c r="O17" s="724">
        <f t="shared" si="15"/>
        <v>0</v>
      </c>
      <c r="P17" s="724">
        <f t="shared" si="15"/>
        <v>0</v>
      </c>
      <c r="Q17" s="724">
        <f t="shared" si="15"/>
        <v>0</v>
      </c>
      <c r="R17" s="724">
        <f>Q17*(1+$C$17)</f>
        <v>0</v>
      </c>
      <c r="S17" s="724">
        <f t="shared" ref="S17:AQ17" si="16">R17*(1+$C$17)</f>
        <v>0</v>
      </c>
      <c r="T17" s="724">
        <f t="shared" si="16"/>
        <v>0</v>
      </c>
      <c r="U17" s="724">
        <f t="shared" si="16"/>
        <v>0</v>
      </c>
      <c r="V17" s="724">
        <f t="shared" si="16"/>
        <v>0</v>
      </c>
      <c r="W17" s="724">
        <f t="shared" si="16"/>
        <v>0</v>
      </c>
      <c r="X17" s="724">
        <f t="shared" si="16"/>
        <v>0</v>
      </c>
      <c r="Y17" s="724">
        <f t="shared" si="16"/>
        <v>0</v>
      </c>
      <c r="Z17" s="724">
        <f t="shared" si="16"/>
        <v>0</v>
      </c>
      <c r="AA17" s="724">
        <f t="shared" si="16"/>
        <v>0</v>
      </c>
      <c r="AB17" s="724">
        <f t="shared" si="16"/>
        <v>0</v>
      </c>
      <c r="AC17" s="724">
        <f t="shared" si="16"/>
        <v>0</v>
      </c>
      <c r="AD17" s="724">
        <f t="shared" si="16"/>
        <v>0</v>
      </c>
      <c r="AE17" s="724">
        <f t="shared" si="16"/>
        <v>0</v>
      </c>
      <c r="AF17" s="724">
        <f t="shared" si="16"/>
        <v>0</v>
      </c>
      <c r="AG17" s="724">
        <f t="shared" si="16"/>
        <v>0</v>
      </c>
      <c r="AH17" s="724">
        <f t="shared" si="16"/>
        <v>0</v>
      </c>
      <c r="AI17" s="724">
        <f t="shared" si="16"/>
        <v>0</v>
      </c>
      <c r="AJ17" s="724">
        <f t="shared" si="16"/>
        <v>0</v>
      </c>
      <c r="AK17" s="724">
        <f t="shared" si="16"/>
        <v>0</v>
      </c>
      <c r="AL17" s="724">
        <f t="shared" si="16"/>
        <v>0</v>
      </c>
      <c r="AM17" s="724">
        <f t="shared" si="16"/>
        <v>0</v>
      </c>
      <c r="AN17" s="724">
        <f t="shared" si="16"/>
        <v>0</v>
      </c>
      <c r="AO17" s="724">
        <f t="shared" si="16"/>
        <v>0</v>
      </c>
      <c r="AP17" s="724">
        <f t="shared" si="16"/>
        <v>0</v>
      </c>
      <c r="AQ17" s="724">
        <f t="shared" si="16"/>
        <v>0</v>
      </c>
      <c r="AR17" s="725" t="s">
        <v>434</v>
      </c>
    </row>
    <row r="18" spans="1:44" s="74" customFormat="1" ht="12">
      <c r="A18" s="711" t="s">
        <v>846</v>
      </c>
      <c r="B18" s="711"/>
      <c r="C18" s="712"/>
      <c r="D18" s="726">
        <f t="shared" ref="D18:AQ18" si="17">SUM(D15:D17)</f>
        <v>0</v>
      </c>
      <c r="E18" s="727">
        <f t="shared" si="17"/>
        <v>0</v>
      </c>
      <c r="F18" s="727">
        <f t="shared" si="17"/>
        <v>0</v>
      </c>
      <c r="G18" s="727">
        <f t="shared" si="17"/>
        <v>0</v>
      </c>
      <c r="H18" s="727">
        <f t="shared" si="17"/>
        <v>0</v>
      </c>
      <c r="I18" s="727">
        <f t="shared" si="17"/>
        <v>0</v>
      </c>
      <c r="J18" s="727">
        <f t="shared" si="17"/>
        <v>0</v>
      </c>
      <c r="K18" s="727">
        <f t="shared" si="17"/>
        <v>0</v>
      </c>
      <c r="L18" s="727">
        <f t="shared" si="17"/>
        <v>0</v>
      </c>
      <c r="M18" s="727">
        <f t="shared" si="17"/>
        <v>0</v>
      </c>
      <c r="N18" s="727">
        <f t="shared" si="17"/>
        <v>0</v>
      </c>
      <c r="O18" s="727">
        <f t="shared" si="17"/>
        <v>0</v>
      </c>
      <c r="P18" s="727">
        <f t="shared" si="17"/>
        <v>0</v>
      </c>
      <c r="Q18" s="727">
        <f t="shared" si="17"/>
        <v>0</v>
      </c>
      <c r="R18" s="727">
        <f t="shared" si="17"/>
        <v>0</v>
      </c>
      <c r="S18" s="727">
        <f t="shared" si="17"/>
        <v>0</v>
      </c>
      <c r="T18" s="727">
        <f t="shared" si="17"/>
        <v>0</v>
      </c>
      <c r="U18" s="727">
        <f t="shared" si="17"/>
        <v>0</v>
      </c>
      <c r="V18" s="727">
        <f t="shared" si="17"/>
        <v>0</v>
      </c>
      <c r="W18" s="727">
        <f t="shared" si="17"/>
        <v>0</v>
      </c>
      <c r="X18" s="727">
        <f t="shared" si="17"/>
        <v>0</v>
      </c>
      <c r="Y18" s="727">
        <f t="shared" si="17"/>
        <v>0</v>
      </c>
      <c r="Z18" s="727">
        <f t="shared" si="17"/>
        <v>0</v>
      </c>
      <c r="AA18" s="727">
        <f t="shared" si="17"/>
        <v>0</v>
      </c>
      <c r="AB18" s="727">
        <f t="shared" si="17"/>
        <v>0</v>
      </c>
      <c r="AC18" s="727">
        <f t="shared" si="17"/>
        <v>0</v>
      </c>
      <c r="AD18" s="727">
        <f t="shared" si="17"/>
        <v>0</v>
      </c>
      <c r="AE18" s="727">
        <f t="shared" si="17"/>
        <v>0</v>
      </c>
      <c r="AF18" s="727">
        <f t="shared" si="17"/>
        <v>0</v>
      </c>
      <c r="AG18" s="727">
        <f t="shared" si="17"/>
        <v>0</v>
      </c>
      <c r="AH18" s="727">
        <f t="shared" si="17"/>
        <v>0</v>
      </c>
      <c r="AI18" s="727">
        <f t="shared" si="17"/>
        <v>0</v>
      </c>
      <c r="AJ18" s="727">
        <f t="shared" si="17"/>
        <v>0</v>
      </c>
      <c r="AK18" s="727">
        <f t="shared" si="17"/>
        <v>0</v>
      </c>
      <c r="AL18" s="727">
        <f t="shared" si="17"/>
        <v>0</v>
      </c>
      <c r="AM18" s="727">
        <f t="shared" si="17"/>
        <v>0</v>
      </c>
      <c r="AN18" s="727">
        <f t="shared" si="17"/>
        <v>0</v>
      </c>
      <c r="AO18" s="727">
        <f t="shared" si="17"/>
        <v>0</v>
      </c>
      <c r="AP18" s="727">
        <f t="shared" si="17"/>
        <v>0</v>
      </c>
      <c r="AQ18" s="727">
        <f t="shared" si="17"/>
        <v>0</v>
      </c>
    </row>
    <row r="19" spans="1:44" s="74" customFormat="1" ht="6.75" customHeight="1">
      <c r="A19" s="715"/>
      <c r="B19" s="715"/>
      <c r="C19" s="712"/>
      <c r="D19" s="702"/>
      <c r="E19" s="697"/>
      <c r="F19" s="697"/>
      <c r="G19" s="697"/>
      <c r="H19" s="697"/>
      <c r="I19" s="697"/>
      <c r="J19" s="697"/>
      <c r="K19" s="697"/>
      <c r="L19" s="697"/>
      <c r="M19" s="697"/>
      <c r="N19" s="697"/>
      <c r="O19" s="697"/>
      <c r="P19" s="697"/>
      <c r="Q19" s="697"/>
      <c r="R19" s="697"/>
      <c r="S19" s="697"/>
      <c r="T19" s="697"/>
      <c r="U19" s="697"/>
      <c r="V19" s="697"/>
      <c r="W19" s="697"/>
      <c r="X19" s="697"/>
      <c r="Y19" s="697"/>
      <c r="Z19" s="697"/>
      <c r="AA19" s="697"/>
      <c r="AB19" s="697"/>
      <c r="AC19" s="697"/>
      <c r="AD19" s="697"/>
      <c r="AE19" s="697"/>
      <c r="AF19" s="697"/>
      <c r="AG19" s="697"/>
      <c r="AH19" s="697"/>
      <c r="AI19" s="697"/>
      <c r="AJ19" s="697"/>
      <c r="AK19" s="697"/>
      <c r="AL19" s="697"/>
      <c r="AM19" s="697"/>
      <c r="AN19" s="697"/>
      <c r="AO19" s="697"/>
      <c r="AP19" s="697"/>
      <c r="AQ19" s="697"/>
    </row>
    <row r="20" spans="1:44" s="74" customFormat="1" ht="12">
      <c r="A20" s="728" t="s">
        <v>847</v>
      </c>
      <c r="B20" s="728"/>
      <c r="C20" s="712"/>
      <c r="D20" s="726">
        <f t="shared" ref="D20:R20" si="18">D12+D18</f>
        <v>0</v>
      </c>
      <c r="E20" s="727">
        <f t="shared" si="18"/>
        <v>0</v>
      </c>
      <c r="F20" s="727">
        <f t="shared" si="18"/>
        <v>0</v>
      </c>
      <c r="G20" s="727">
        <f t="shared" si="18"/>
        <v>0</v>
      </c>
      <c r="H20" s="727">
        <f t="shared" si="18"/>
        <v>0</v>
      </c>
      <c r="I20" s="727">
        <f t="shared" si="18"/>
        <v>0</v>
      </c>
      <c r="J20" s="727">
        <f t="shared" si="18"/>
        <v>0</v>
      </c>
      <c r="K20" s="727">
        <f t="shared" si="18"/>
        <v>0</v>
      </c>
      <c r="L20" s="727">
        <f t="shared" si="18"/>
        <v>0</v>
      </c>
      <c r="M20" s="727">
        <f t="shared" si="18"/>
        <v>0</v>
      </c>
      <c r="N20" s="727">
        <f t="shared" si="18"/>
        <v>0</v>
      </c>
      <c r="O20" s="727">
        <f t="shared" si="18"/>
        <v>0</v>
      </c>
      <c r="P20" s="727">
        <f t="shared" si="18"/>
        <v>0</v>
      </c>
      <c r="Q20" s="727">
        <f t="shared" si="18"/>
        <v>0</v>
      </c>
      <c r="R20" s="727">
        <f t="shared" si="18"/>
        <v>0</v>
      </c>
      <c r="S20" s="727">
        <f t="shared" ref="S20:AQ20" si="19">S12+S18</f>
        <v>0</v>
      </c>
      <c r="T20" s="727">
        <f t="shared" si="19"/>
        <v>0</v>
      </c>
      <c r="U20" s="727">
        <f t="shared" si="19"/>
        <v>0</v>
      </c>
      <c r="V20" s="727">
        <f t="shared" si="19"/>
        <v>0</v>
      </c>
      <c r="W20" s="727">
        <f t="shared" si="19"/>
        <v>0</v>
      </c>
      <c r="X20" s="727">
        <f t="shared" si="19"/>
        <v>0</v>
      </c>
      <c r="Y20" s="727">
        <f t="shared" si="19"/>
        <v>0</v>
      </c>
      <c r="Z20" s="727">
        <f t="shared" si="19"/>
        <v>0</v>
      </c>
      <c r="AA20" s="727">
        <f t="shared" si="19"/>
        <v>0</v>
      </c>
      <c r="AB20" s="727">
        <f t="shared" si="19"/>
        <v>0</v>
      </c>
      <c r="AC20" s="727">
        <f t="shared" si="19"/>
        <v>0</v>
      </c>
      <c r="AD20" s="727">
        <f t="shared" si="19"/>
        <v>0</v>
      </c>
      <c r="AE20" s="727">
        <f t="shared" si="19"/>
        <v>0</v>
      </c>
      <c r="AF20" s="727">
        <f t="shared" si="19"/>
        <v>0</v>
      </c>
      <c r="AG20" s="727">
        <f t="shared" si="19"/>
        <v>0</v>
      </c>
      <c r="AH20" s="727">
        <f t="shared" si="19"/>
        <v>0</v>
      </c>
      <c r="AI20" s="727">
        <f t="shared" si="19"/>
        <v>0</v>
      </c>
      <c r="AJ20" s="727">
        <f t="shared" si="19"/>
        <v>0</v>
      </c>
      <c r="AK20" s="727">
        <f t="shared" si="19"/>
        <v>0</v>
      </c>
      <c r="AL20" s="727">
        <f t="shared" si="19"/>
        <v>0</v>
      </c>
      <c r="AM20" s="727">
        <f t="shared" si="19"/>
        <v>0</v>
      </c>
      <c r="AN20" s="727">
        <f t="shared" si="19"/>
        <v>0</v>
      </c>
      <c r="AO20" s="727">
        <f t="shared" si="19"/>
        <v>0</v>
      </c>
      <c r="AP20" s="727">
        <f t="shared" si="19"/>
        <v>0</v>
      </c>
      <c r="AQ20" s="727">
        <f t="shared" si="19"/>
        <v>0</v>
      </c>
    </row>
    <row r="21" spans="1:44" s="74" customFormat="1" ht="5.25" customHeight="1">
      <c r="A21" s="729" t="s">
        <v>434</v>
      </c>
      <c r="B21" s="729"/>
      <c r="C21" s="712"/>
      <c r="D21" s="702"/>
      <c r="E21" s="697"/>
      <c r="F21" s="697"/>
      <c r="G21" s="697"/>
      <c r="H21" s="697"/>
      <c r="I21" s="697"/>
      <c r="J21" s="697"/>
      <c r="K21" s="697"/>
      <c r="L21" s="697"/>
      <c r="M21" s="697"/>
      <c r="N21" s="697"/>
      <c r="O21" s="697"/>
      <c r="P21" s="697"/>
      <c r="Q21" s="697"/>
      <c r="R21" s="697"/>
      <c r="S21" s="697"/>
      <c r="T21" s="697"/>
      <c r="U21" s="697"/>
      <c r="V21" s="697"/>
      <c r="W21" s="697"/>
      <c r="X21" s="697"/>
      <c r="Y21" s="697"/>
      <c r="Z21" s="697"/>
      <c r="AA21" s="697"/>
      <c r="AB21" s="697"/>
      <c r="AC21" s="697"/>
      <c r="AD21" s="697"/>
      <c r="AE21" s="697"/>
      <c r="AF21" s="697"/>
      <c r="AG21" s="697"/>
      <c r="AH21" s="697"/>
      <c r="AI21" s="697"/>
      <c r="AJ21" s="697"/>
      <c r="AK21" s="697"/>
      <c r="AL21" s="697"/>
      <c r="AM21" s="697"/>
      <c r="AN21" s="697"/>
      <c r="AO21" s="697"/>
      <c r="AP21" s="697"/>
      <c r="AQ21" s="697"/>
    </row>
    <row r="22" spans="1:44" s="74" customFormat="1" ht="12">
      <c r="A22" s="688" t="s">
        <v>28</v>
      </c>
      <c r="B22" s="688"/>
      <c r="C22" s="730"/>
      <c r="D22" s="731"/>
      <c r="E22" s="732"/>
      <c r="F22" s="732"/>
      <c r="G22" s="732"/>
      <c r="H22" s="732"/>
      <c r="I22" s="732"/>
      <c r="J22" s="732"/>
      <c r="K22" s="732"/>
      <c r="L22" s="732"/>
      <c r="M22" s="732"/>
      <c r="N22" s="732"/>
      <c r="O22" s="732"/>
      <c r="P22" s="732"/>
      <c r="Q22" s="732"/>
      <c r="R22" s="732"/>
      <c r="S22" s="732"/>
      <c r="T22" s="732"/>
      <c r="U22" s="732"/>
      <c r="V22" s="732"/>
      <c r="W22" s="732"/>
      <c r="X22" s="732"/>
      <c r="Y22" s="732"/>
      <c r="Z22" s="732"/>
      <c r="AA22" s="732"/>
      <c r="AB22" s="732"/>
      <c r="AC22" s="732"/>
      <c r="AD22" s="732"/>
      <c r="AE22" s="732"/>
      <c r="AF22" s="732"/>
      <c r="AG22" s="732"/>
      <c r="AH22" s="732"/>
      <c r="AI22" s="732"/>
      <c r="AJ22" s="732"/>
      <c r="AK22" s="732"/>
      <c r="AL22" s="732"/>
      <c r="AM22" s="732"/>
      <c r="AN22" s="732"/>
      <c r="AO22" s="732"/>
      <c r="AP22" s="732"/>
      <c r="AQ22" s="732"/>
    </row>
    <row r="23" spans="1:44" s="74" customFormat="1" ht="12">
      <c r="A23" s="155" t="s">
        <v>849</v>
      </c>
      <c r="B23" s="155"/>
      <c r="C23" s="695">
        <f>'Operating '!D45</f>
        <v>0.05</v>
      </c>
      <c r="D23" s="721">
        <f>+$C23*D5</f>
        <v>0</v>
      </c>
      <c r="E23" s="722">
        <f t="shared" ref="E23:R23" si="20">+$C23*E5</f>
        <v>0</v>
      </c>
      <c r="F23" s="722">
        <f t="shared" si="20"/>
        <v>0</v>
      </c>
      <c r="G23" s="722">
        <f t="shared" si="20"/>
        <v>0</v>
      </c>
      <c r="H23" s="722">
        <f t="shared" si="20"/>
        <v>0</v>
      </c>
      <c r="I23" s="722">
        <f t="shared" si="20"/>
        <v>0</v>
      </c>
      <c r="J23" s="722">
        <f t="shared" si="20"/>
        <v>0</v>
      </c>
      <c r="K23" s="722">
        <f t="shared" si="20"/>
        <v>0</v>
      </c>
      <c r="L23" s="722">
        <f t="shared" si="20"/>
        <v>0</v>
      </c>
      <c r="M23" s="722">
        <f t="shared" si="20"/>
        <v>0</v>
      </c>
      <c r="N23" s="722">
        <f t="shared" si="20"/>
        <v>0</v>
      </c>
      <c r="O23" s="722">
        <f t="shared" si="20"/>
        <v>0</v>
      </c>
      <c r="P23" s="722">
        <f t="shared" si="20"/>
        <v>0</v>
      </c>
      <c r="Q23" s="722">
        <f t="shared" si="20"/>
        <v>0</v>
      </c>
      <c r="R23" s="722">
        <f t="shared" si="20"/>
        <v>0</v>
      </c>
      <c r="S23" s="722">
        <f t="shared" ref="S23:AQ23" si="21">+$C23*S5</f>
        <v>0</v>
      </c>
      <c r="T23" s="722">
        <f t="shared" si="21"/>
        <v>0</v>
      </c>
      <c r="U23" s="722">
        <f t="shared" si="21"/>
        <v>0</v>
      </c>
      <c r="V23" s="722">
        <f t="shared" si="21"/>
        <v>0</v>
      </c>
      <c r="W23" s="722">
        <f t="shared" si="21"/>
        <v>0</v>
      </c>
      <c r="X23" s="722">
        <f t="shared" si="21"/>
        <v>0</v>
      </c>
      <c r="Y23" s="722">
        <f t="shared" si="21"/>
        <v>0</v>
      </c>
      <c r="Z23" s="722">
        <f t="shared" si="21"/>
        <v>0</v>
      </c>
      <c r="AA23" s="722">
        <f t="shared" si="21"/>
        <v>0</v>
      </c>
      <c r="AB23" s="722">
        <f t="shared" si="21"/>
        <v>0</v>
      </c>
      <c r="AC23" s="722">
        <f t="shared" si="21"/>
        <v>0</v>
      </c>
      <c r="AD23" s="722">
        <f t="shared" si="21"/>
        <v>0</v>
      </c>
      <c r="AE23" s="722">
        <f t="shared" si="21"/>
        <v>0</v>
      </c>
      <c r="AF23" s="722">
        <f t="shared" si="21"/>
        <v>0</v>
      </c>
      <c r="AG23" s="722">
        <f t="shared" si="21"/>
        <v>0</v>
      </c>
      <c r="AH23" s="722">
        <f t="shared" si="21"/>
        <v>0</v>
      </c>
      <c r="AI23" s="722">
        <f t="shared" si="21"/>
        <v>0</v>
      </c>
      <c r="AJ23" s="722">
        <f t="shared" si="21"/>
        <v>0</v>
      </c>
      <c r="AK23" s="722">
        <f t="shared" si="21"/>
        <v>0</v>
      </c>
      <c r="AL23" s="722">
        <f t="shared" si="21"/>
        <v>0</v>
      </c>
      <c r="AM23" s="722">
        <f t="shared" si="21"/>
        <v>0</v>
      </c>
      <c r="AN23" s="722">
        <f t="shared" si="21"/>
        <v>0</v>
      </c>
      <c r="AO23" s="722">
        <f t="shared" si="21"/>
        <v>0</v>
      </c>
      <c r="AP23" s="722">
        <f t="shared" si="21"/>
        <v>0</v>
      </c>
      <c r="AQ23" s="722">
        <f t="shared" si="21"/>
        <v>0</v>
      </c>
    </row>
    <row r="24" spans="1:44" s="74" customFormat="1" ht="12">
      <c r="A24" s="155" t="s">
        <v>450</v>
      </c>
      <c r="B24" s="155"/>
      <c r="C24" s="695">
        <f>'Operating '!D46</f>
        <v>0.05</v>
      </c>
      <c r="D24" s="721">
        <f>+$C24*D6</f>
        <v>0</v>
      </c>
      <c r="E24" s="722">
        <f t="shared" ref="E24:R24" si="22">+$C24*E6</f>
        <v>0</v>
      </c>
      <c r="F24" s="722">
        <f t="shared" si="22"/>
        <v>0</v>
      </c>
      <c r="G24" s="722">
        <f t="shared" si="22"/>
        <v>0</v>
      </c>
      <c r="H24" s="722">
        <f t="shared" si="22"/>
        <v>0</v>
      </c>
      <c r="I24" s="722">
        <f t="shared" si="22"/>
        <v>0</v>
      </c>
      <c r="J24" s="722">
        <f t="shared" si="22"/>
        <v>0</v>
      </c>
      <c r="K24" s="722">
        <f t="shared" si="22"/>
        <v>0</v>
      </c>
      <c r="L24" s="722">
        <f t="shared" si="22"/>
        <v>0</v>
      </c>
      <c r="M24" s="722">
        <f t="shared" si="22"/>
        <v>0</v>
      </c>
      <c r="N24" s="722">
        <f t="shared" si="22"/>
        <v>0</v>
      </c>
      <c r="O24" s="722">
        <f t="shared" si="22"/>
        <v>0</v>
      </c>
      <c r="P24" s="722">
        <f t="shared" si="22"/>
        <v>0</v>
      </c>
      <c r="Q24" s="722">
        <f t="shared" si="22"/>
        <v>0</v>
      </c>
      <c r="R24" s="722">
        <f t="shared" si="22"/>
        <v>0</v>
      </c>
      <c r="S24" s="722">
        <f t="shared" ref="S24:AQ24" si="23">+$C24*S6</f>
        <v>0</v>
      </c>
      <c r="T24" s="722">
        <f t="shared" si="23"/>
        <v>0</v>
      </c>
      <c r="U24" s="722">
        <f t="shared" si="23"/>
        <v>0</v>
      </c>
      <c r="V24" s="722">
        <f t="shared" si="23"/>
        <v>0</v>
      </c>
      <c r="W24" s="722">
        <f t="shared" si="23"/>
        <v>0</v>
      </c>
      <c r="X24" s="722">
        <f t="shared" si="23"/>
        <v>0</v>
      </c>
      <c r="Y24" s="722">
        <f t="shared" si="23"/>
        <v>0</v>
      </c>
      <c r="Z24" s="722">
        <f t="shared" si="23"/>
        <v>0</v>
      </c>
      <c r="AA24" s="722">
        <f t="shared" si="23"/>
        <v>0</v>
      </c>
      <c r="AB24" s="722">
        <f t="shared" si="23"/>
        <v>0</v>
      </c>
      <c r="AC24" s="722">
        <f t="shared" si="23"/>
        <v>0</v>
      </c>
      <c r="AD24" s="722">
        <f t="shared" si="23"/>
        <v>0</v>
      </c>
      <c r="AE24" s="722">
        <f t="shared" si="23"/>
        <v>0</v>
      </c>
      <c r="AF24" s="722">
        <f t="shared" si="23"/>
        <v>0</v>
      </c>
      <c r="AG24" s="722">
        <f t="shared" si="23"/>
        <v>0</v>
      </c>
      <c r="AH24" s="722">
        <f t="shared" si="23"/>
        <v>0</v>
      </c>
      <c r="AI24" s="722">
        <f t="shared" si="23"/>
        <v>0</v>
      </c>
      <c r="AJ24" s="722">
        <f t="shared" si="23"/>
        <v>0</v>
      </c>
      <c r="AK24" s="722">
        <f t="shared" si="23"/>
        <v>0</v>
      </c>
      <c r="AL24" s="722">
        <f t="shared" si="23"/>
        <v>0</v>
      </c>
      <c r="AM24" s="722">
        <f t="shared" si="23"/>
        <v>0</v>
      </c>
      <c r="AN24" s="722">
        <f t="shared" si="23"/>
        <v>0</v>
      </c>
      <c r="AO24" s="722">
        <f t="shared" si="23"/>
        <v>0</v>
      </c>
      <c r="AP24" s="722">
        <f t="shared" si="23"/>
        <v>0</v>
      </c>
      <c r="AQ24" s="722">
        <f t="shared" si="23"/>
        <v>0</v>
      </c>
      <c r="AR24" s="733" t="s">
        <v>434</v>
      </c>
    </row>
    <row r="25" spans="1:44" s="74" customFormat="1" ht="12">
      <c r="A25" s="155" t="s">
        <v>837</v>
      </c>
      <c r="B25" s="155"/>
      <c r="C25" s="695">
        <f>'Operating '!D47</f>
        <v>0.05</v>
      </c>
      <c r="D25" s="721">
        <f>+$C25*(D8+D9)</f>
        <v>0</v>
      </c>
      <c r="E25" s="722">
        <f>+$C25*(E8+E9)</f>
        <v>0</v>
      </c>
      <c r="F25" s="722">
        <f t="shared" ref="F25:AQ25" si="24">+$C25*(F8+F9)</f>
        <v>0</v>
      </c>
      <c r="G25" s="722">
        <f t="shared" si="24"/>
        <v>0</v>
      </c>
      <c r="H25" s="722">
        <f t="shared" si="24"/>
        <v>0</v>
      </c>
      <c r="I25" s="722">
        <f t="shared" si="24"/>
        <v>0</v>
      </c>
      <c r="J25" s="722">
        <f t="shared" si="24"/>
        <v>0</v>
      </c>
      <c r="K25" s="722">
        <f t="shared" si="24"/>
        <v>0</v>
      </c>
      <c r="L25" s="722">
        <f t="shared" si="24"/>
        <v>0</v>
      </c>
      <c r="M25" s="722">
        <f t="shared" si="24"/>
        <v>0</v>
      </c>
      <c r="N25" s="722">
        <f t="shared" si="24"/>
        <v>0</v>
      </c>
      <c r="O25" s="722">
        <f t="shared" si="24"/>
        <v>0</v>
      </c>
      <c r="P25" s="722">
        <f t="shared" si="24"/>
        <v>0</v>
      </c>
      <c r="Q25" s="722">
        <f t="shared" si="24"/>
        <v>0</v>
      </c>
      <c r="R25" s="722">
        <f t="shared" si="24"/>
        <v>0</v>
      </c>
      <c r="S25" s="722">
        <f t="shared" si="24"/>
        <v>0</v>
      </c>
      <c r="T25" s="722">
        <f t="shared" si="24"/>
        <v>0</v>
      </c>
      <c r="U25" s="722">
        <f t="shared" si="24"/>
        <v>0</v>
      </c>
      <c r="V25" s="722">
        <f t="shared" si="24"/>
        <v>0</v>
      </c>
      <c r="W25" s="722">
        <f t="shared" si="24"/>
        <v>0</v>
      </c>
      <c r="X25" s="722">
        <f t="shared" si="24"/>
        <v>0</v>
      </c>
      <c r="Y25" s="722">
        <f t="shared" si="24"/>
        <v>0</v>
      </c>
      <c r="Z25" s="722">
        <f t="shared" si="24"/>
        <v>0</v>
      </c>
      <c r="AA25" s="722">
        <f t="shared" si="24"/>
        <v>0</v>
      </c>
      <c r="AB25" s="722">
        <f t="shared" si="24"/>
        <v>0</v>
      </c>
      <c r="AC25" s="722">
        <f t="shared" si="24"/>
        <v>0</v>
      </c>
      <c r="AD25" s="722">
        <f t="shared" si="24"/>
        <v>0</v>
      </c>
      <c r="AE25" s="722">
        <f t="shared" si="24"/>
        <v>0</v>
      </c>
      <c r="AF25" s="722">
        <f t="shared" si="24"/>
        <v>0</v>
      </c>
      <c r="AG25" s="722">
        <f t="shared" si="24"/>
        <v>0</v>
      </c>
      <c r="AH25" s="722">
        <f t="shared" si="24"/>
        <v>0</v>
      </c>
      <c r="AI25" s="722">
        <f t="shared" si="24"/>
        <v>0</v>
      </c>
      <c r="AJ25" s="722">
        <f t="shared" si="24"/>
        <v>0</v>
      </c>
      <c r="AK25" s="722">
        <f t="shared" si="24"/>
        <v>0</v>
      </c>
      <c r="AL25" s="722">
        <f t="shared" si="24"/>
        <v>0</v>
      </c>
      <c r="AM25" s="722">
        <f t="shared" si="24"/>
        <v>0</v>
      </c>
      <c r="AN25" s="722">
        <f t="shared" si="24"/>
        <v>0</v>
      </c>
      <c r="AO25" s="722">
        <f t="shared" si="24"/>
        <v>0</v>
      </c>
      <c r="AP25" s="722">
        <f t="shared" si="24"/>
        <v>0</v>
      </c>
      <c r="AQ25" s="722">
        <f t="shared" si="24"/>
        <v>0</v>
      </c>
      <c r="AR25" s="722"/>
    </row>
    <row r="26" spans="1:44" s="74" customFormat="1" ht="12">
      <c r="A26" s="155" t="str">
        <f>'Operating '!C39</f>
        <v>Other: (specify)</v>
      </c>
      <c r="B26" s="155"/>
      <c r="C26" s="695">
        <f>'Operating '!D48</f>
        <v>0.05</v>
      </c>
      <c r="D26" s="721">
        <f t="shared" ref="D26:R26" si="25">+$C26*D11</f>
        <v>0</v>
      </c>
      <c r="E26" s="722">
        <f t="shared" si="25"/>
        <v>0</v>
      </c>
      <c r="F26" s="722">
        <f t="shared" si="25"/>
        <v>0</v>
      </c>
      <c r="G26" s="722">
        <f t="shared" si="25"/>
        <v>0</v>
      </c>
      <c r="H26" s="722">
        <f t="shared" si="25"/>
        <v>0</v>
      </c>
      <c r="I26" s="722">
        <f t="shared" si="25"/>
        <v>0</v>
      </c>
      <c r="J26" s="722">
        <f t="shared" si="25"/>
        <v>0</v>
      </c>
      <c r="K26" s="722">
        <f t="shared" si="25"/>
        <v>0</v>
      </c>
      <c r="L26" s="722">
        <f t="shared" si="25"/>
        <v>0</v>
      </c>
      <c r="M26" s="722">
        <f t="shared" si="25"/>
        <v>0</v>
      </c>
      <c r="N26" s="722">
        <f t="shared" si="25"/>
        <v>0</v>
      </c>
      <c r="O26" s="722">
        <f t="shared" si="25"/>
        <v>0</v>
      </c>
      <c r="P26" s="722">
        <f t="shared" si="25"/>
        <v>0</v>
      </c>
      <c r="Q26" s="722">
        <f t="shared" si="25"/>
        <v>0</v>
      </c>
      <c r="R26" s="722">
        <f t="shared" si="25"/>
        <v>0</v>
      </c>
      <c r="S26" s="722">
        <f t="shared" ref="S26:AQ26" si="26">+$C26*S11</f>
        <v>0</v>
      </c>
      <c r="T26" s="722">
        <f t="shared" si="26"/>
        <v>0</v>
      </c>
      <c r="U26" s="722">
        <f t="shared" si="26"/>
        <v>0</v>
      </c>
      <c r="V26" s="722">
        <f t="shared" si="26"/>
        <v>0</v>
      </c>
      <c r="W26" s="722">
        <f t="shared" si="26"/>
        <v>0</v>
      </c>
      <c r="X26" s="722">
        <f t="shared" si="26"/>
        <v>0</v>
      </c>
      <c r="Y26" s="722">
        <f t="shared" si="26"/>
        <v>0</v>
      </c>
      <c r="Z26" s="722">
        <f t="shared" si="26"/>
        <v>0</v>
      </c>
      <c r="AA26" s="722">
        <f t="shared" si="26"/>
        <v>0</v>
      </c>
      <c r="AB26" s="722">
        <f t="shared" si="26"/>
        <v>0</v>
      </c>
      <c r="AC26" s="722">
        <f t="shared" si="26"/>
        <v>0</v>
      </c>
      <c r="AD26" s="722">
        <f t="shared" si="26"/>
        <v>0</v>
      </c>
      <c r="AE26" s="722">
        <f t="shared" si="26"/>
        <v>0</v>
      </c>
      <c r="AF26" s="722">
        <f t="shared" si="26"/>
        <v>0</v>
      </c>
      <c r="AG26" s="722">
        <f t="shared" si="26"/>
        <v>0</v>
      </c>
      <c r="AH26" s="722">
        <f t="shared" si="26"/>
        <v>0</v>
      </c>
      <c r="AI26" s="722">
        <f t="shared" si="26"/>
        <v>0</v>
      </c>
      <c r="AJ26" s="722">
        <f t="shared" si="26"/>
        <v>0</v>
      </c>
      <c r="AK26" s="722">
        <f t="shared" si="26"/>
        <v>0</v>
      </c>
      <c r="AL26" s="722">
        <f t="shared" si="26"/>
        <v>0</v>
      </c>
      <c r="AM26" s="722">
        <f t="shared" si="26"/>
        <v>0</v>
      </c>
      <c r="AN26" s="722">
        <f t="shared" si="26"/>
        <v>0</v>
      </c>
      <c r="AO26" s="722">
        <f t="shared" si="26"/>
        <v>0</v>
      </c>
      <c r="AP26" s="722">
        <f t="shared" si="26"/>
        <v>0</v>
      </c>
      <c r="AQ26" s="722">
        <f t="shared" si="26"/>
        <v>0</v>
      </c>
    </row>
    <row r="27" spans="1:44" s="74" customFormat="1" ht="12">
      <c r="A27" s="155" t="s">
        <v>1003</v>
      </c>
      <c r="B27" s="155"/>
      <c r="C27" s="695">
        <f>'Operating '!D49</f>
        <v>0.05</v>
      </c>
      <c r="D27" s="721">
        <f t="shared" ref="D27:R27" si="27">+$C27*(D15+D16)</f>
        <v>0</v>
      </c>
      <c r="E27" s="722">
        <f t="shared" si="27"/>
        <v>0</v>
      </c>
      <c r="F27" s="722">
        <f t="shared" si="27"/>
        <v>0</v>
      </c>
      <c r="G27" s="722">
        <f t="shared" si="27"/>
        <v>0</v>
      </c>
      <c r="H27" s="722">
        <f t="shared" si="27"/>
        <v>0</v>
      </c>
      <c r="I27" s="722">
        <f t="shared" si="27"/>
        <v>0</v>
      </c>
      <c r="J27" s="722">
        <f t="shared" si="27"/>
        <v>0</v>
      </c>
      <c r="K27" s="722">
        <f t="shared" si="27"/>
        <v>0</v>
      </c>
      <c r="L27" s="722">
        <f t="shared" si="27"/>
        <v>0</v>
      </c>
      <c r="M27" s="722">
        <f t="shared" si="27"/>
        <v>0</v>
      </c>
      <c r="N27" s="722">
        <f t="shared" si="27"/>
        <v>0</v>
      </c>
      <c r="O27" s="722">
        <f t="shared" si="27"/>
        <v>0</v>
      </c>
      <c r="P27" s="722">
        <f t="shared" si="27"/>
        <v>0</v>
      </c>
      <c r="Q27" s="722">
        <f t="shared" si="27"/>
        <v>0</v>
      </c>
      <c r="R27" s="722">
        <f t="shared" si="27"/>
        <v>0</v>
      </c>
      <c r="S27" s="722">
        <f t="shared" ref="S27:AQ27" si="28">+$C27*(S15+S16)</f>
        <v>0</v>
      </c>
      <c r="T27" s="722">
        <f t="shared" si="28"/>
        <v>0</v>
      </c>
      <c r="U27" s="722">
        <f t="shared" si="28"/>
        <v>0</v>
      </c>
      <c r="V27" s="722">
        <f t="shared" si="28"/>
        <v>0</v>
      </c>
      <c r="W27" s="722">
        <f t="shared" si="28"/>
        <v>0</v>
      </c>
      <c r="X27" s="722">
        <f t="shared" si="28"/>
        <v>0</v>
      </c>
      <c r="Y27" s="722">
        <f t="shared" si="28"/>
        <v>0</v>
      </c>
      <c r="Z27" s="722">
        <f t="shared" si="28"/>
        <v>0</v>
      </c>
      <c r="AA27" s="722">
        <f t="shared" si="28"/>
        <v>0</v>
      </c>
      <c r="AB27" s="722">
        <f t="shared" si="28"/>
        <v>0</v>
      </c>
      <c r="AC27" s="722">
        <f t="shared" si="28"/>
        <v>0</v>
      </c>
      <c r="AD27" s="722">
        <f t="shared" si="28"/>
        <v>0</v>
      </c>
      <c r="AE27" s="722">
        <f t="shared" si="28"/>
        <v>0</v>
      </c>
      <c r="AF27" s="722">
        <f t="shared" si="28"/>
        <v>0</v>
      </c>
      <c r="AG27" s="722">
        <f t="shared" si="28"/>
        <v>0</v>
      </c>
      <c r="AH27" s="722">
        <f t="shared" si="28"/>
        <v>0</v>
      </c>
      <c r="AI27" s="722">
        <f t="shared" si="28"/>
        <v>0</v>
      </c>
      <c r="AJ27" s="722">
        <f t="shared" si="28"/>
        <v>0</v>
      </c>
      <c r="AK27" s="722">
        <f t="shared" si="28"/>
        <v>0</v>
      </c>
      <c r="AL27" s="722">
        <f t="shared" si="28"/>
        <v>0</v>
      </c>
      <c r="AM27" s="722">
        <f t="shared" si="28"/>
        <v>0</v>
      </c>
      <c r="AN27" s="722">
        <f t="shared" si="28"/>
        <v>0</v>
      </c>
      <c r="AO27" s="722">
        <f t="shared" si="28"/>
        <v>0</v>
      </c>
      <c r="AP27" s="722">
        <f t="shared" si="28"/>
        <v>0</v>
      </c>
      <c r="AQ27" s="722">
        <f t="shared" si="28"/>
        <v>0</v>
      </c>
    </row>
    <row r="28" spans="1:44" s="74" customFormat="1" ht="12">
      <c r="A28" s="155" t="s">
        <v>29</v>
      </c>
      <c r="B28" s="155"/>
      <c r="C28" s="695">
        <f>'Operating '!E50</f>
        <v>0.5</v>
      </c>
      <c r="D28" s="723">
        <f t="shared" ref="D28:R28" si="29">+$C28*D17</f>
        <v>0</v>
      </c>
      <c r="E28" s="724">
        <f t="shared" si="29"/>
        <v>0</v>
      </c>
      <c r="F28" s="724">
        <f t="shared" si="29"/>
        <v>0</v>
      </c>
      <c r="G28" s="724">
        <f t="shared" si="29"/>
        <v>0</v>
      </c>
      <c r="H28" s="724">
        <f t="shared" si="29"/>
        <v>0</v>
      </c>
      <c r="I28" s="724">
        <f t="shared" si="29"/>
        <v>0</v>
      </c>
      <c r="J28" s="724">
        <f t="shared" si="29"/>
        <v>0</v>
      </c>
      <c r="K28" s="724">
        <f t="shared" si="29"/>
        <v>0</v>
      </c>
      <c r="L28" s="724">
        <f t="shared" si="29"/>
        <v>0</v>
      </c>
      <c r="M28" s="724">
        <f t="shared" si="29"/>
        <v>0</v>
      </c>
      <c r="N28" s="724">
        <f t="shared" si="29"/>
        <v>0</v>
      </c>
      <c r="O28" s="724">
        <f t="shared" si="29"/>
        <v>0</v>
      </c>
      <c r="P28" s="724">
        <f t="shared" si="29"/>
        <v>0</v>
      </c>
      <c r="Q28" s="724">
        <f t="shared" si="29"/>
        <v>0</v>
      </c>
      <c r="R28" s="724">
        <f t="shared" si="29"/>
        <v>0</v>
      </c>
      <c r="S28" s="724">
        <f t="shared" ref="S28:AQ28" si="30">+$C28*S17</f>
        <v>0</v>
      </c>
      <c r="T28" s="724">
        <f t="shared" si="30"/>
        <v>0</v>
      </c>
      <c r="U28" s="724">
        <f t="shared" si="30"/>
        <v>0</v>
      </c>
      <c r="V28" s="724">
        <f t="shared" si="30"/>
        <v>0</v>
      </c>
      <c r="W28" s="724">
        <f t="shared" si="30"/>
        <v>0</v>
      </c>
      <c r="X28" s="724">
        <f t="shared" si="30"/>
        <v>0</v>
      </c>
      <c r="Y28" s="724">
        <f t="shared" si="30"/>
        <v>0</v>
      </c>
      <c r="Z28" s="724">
        <f t="shared" si="30"/>
        <v>0</v>
      </c>
      <c r="AA28" s="724">
        <f t="shared" si="30"/>
        <v>0</v>
      </c>
      <c r="AB28" s="724">
        <f t="shared" si="30"/>
        <v>0</v>
      </c>
      <c r="AC28" s="724">
        <f t="shared" si="30"/>
        <v>0</v>
      </c>
      <c r="AD28" s="724">
        <f t="shared" si="30"/>
        <v>0</v>
      </c>
      <c r="AE28" s="724">
        <f t="shared" si="30"/>
        <v>0</v>
      </c>
      <c r="AF28" s="724">
        <f t="shared" si="30"/>
        <v>0</v>
      </c>
      <c r="AG28" s="724">
        <f t="shared" si="30"/>
        <v>0</v>
      </c>
      <c r="AH28" s="724">
        <f t="shared" si="30"/>
        <v>0</v>
      </c>
      <c r="AI28" s="724">
        <f t="shared" si="30"/>
        <v>0</v>
      </c>
      <c r="AJ28" s="724">
        <f t="shared" si="30"/>
        <v>0</v>
      </c>
      <c r="AK28" s="724">
        <f t="shared" si="30"/>
        <v>0</v>
      </c>
      <c r="AL28" s="724">
        <f t="shared" si="30"/>
        <v>0</v>
      </c>
      <c r="AM28" s="724">
        <f t="shared" si="30"/>
        <v>0</v>
      </c>
      <c r="AN28" s="724">
        <f t="shared" si="30"/>
        <v>0</v>
      </c>
      <c r="AO28" s="724">
        <f t="shared" si="30"/>
        <v>0</v>
      </c>
      <c r="AP28" s="724">
        <f t="shared" si="30"/>
        <v>0</v>
      </c>
      <c r="AQ28" s="724">
        <f t="shared" si="30"/>
        <v>0</v>
      </c>
    </row>
    <row r="29" spans="1:44" s="74" customFormat="1" ht="12">
      <c r="A29" s="711" t="s">
        <v>212</v>
      </c>
      <c r="B29" s="711"/>
      <c r="C29" s="712"/>
      <c r="D29" s="734">
        <f>SUM(D23:D28)</f>
        <v>0</v>
      </c>
      <c r="E29" s="735">
        <f t="shared" ref="E29:R29" si="31">SUM(E23:E28)</f>
        <v>0</v>
      </c>
      <c r="F29" s="735">
        <f t="shared" si="31"/>
        <v>0</v>
      </c>
      <c r="G29" s="735">
        <f t="shared" si="31"/>
        <v>0</v>
      </c>
      <c r="H29" s="735">
        <f t="shared" si="31"/>
        <v>0</v>
      </c>
      <c r="I29" s="735">
        <f t="shared" si="31"/>
        <v>0</v>
      </c>
      <c r="J29" s="735">
        <f t="shared" si="31"/>
        <v>0</v>
      </c>
      <c r="K29" s="735">
        <f t="shared" si="31"/>
        <v>0</v>
      </c>
      <c r="L29" s="735">
        <f t="shared" si="31"/>
        <v>0</v>
      </c>
      <c r="M29" s="735">
        <f t="shared" si="31"/>
        <v>0</v>
      </c>
      <c r="N29" s="735">
        <f t="shared" si="31"/>
        <v>0</v>
      </c>
      <c r="O29" s="735">
        <f t="shared" si="31"/>
        <v>0</v>
      </c>
      <c r="P29" s="735">
        <f t="shared" si="31"/>
        <v>0</v>
      </c>
      <c r="Q29" s="735">
        <f t="shared" si="31"/>
        <v>0</v>
      </c>
      <c r="R29" s="735">
        <f t="shared" si="31"/>
        <v>0</v>
      </c>
      <c r="S29" s="735">
        <f t="shared" ref="S29:AQ29" si="32">SUM(S23:S28)</f>
        <v>0</v>
      </c>
      <c r="T29" s="735">
        <f t="shared" si="32"/>
        <v>0</v>
      </c>
      <c r="U29" s="735">
        <f t="shared" si="32"/>
        <v>0</v>
      </c>
      <c r="V29" s="735">
        <f t="shared" si="32"/>
        <v>0</v>
      </c>
      <c r="W29" s="735">
        <f t="shared" si="32"/>
        <v>0</v>
      </c>
      <c r="X29" s="735">
        <f t="shared" si="32"/>
        <v>0</v>
      </c>
      <c r="Y29" s="735">
        <f t="shared" si="32"/>
        <v>0</v>
      </c>
      <c r="Z29" s="735">
        <f t="shared" si="32"/>
        <v>0</v>
      </c>
      <c r="AA29" s="735">
        <f t="shared" si="32"/>
        <v>0</v>
      </c>
      <c r="AB29" s="735">
        <f t="shared" si="32"/>
        <v>0</v>
      </c>
      <c r="AC29" s="735">
        <f t="shared" si="32"/>
        <v>0</v>
      </c>
      <c r="AD29" s="735">
        <f t="shared" si="32"/>
        <v>0</v>
      </c>
      <c r="AE29" s="735">
        <f t="shared" si="32"/>
        <v>0</v>
      </c>
      <c r="AF29" s="735">
        <f t="shared" si="32"/>
        <v>0</v>
      </c>
      <c r="AG29" s="735">
        <f t="shared" si="32"/>
        <v>0</v>
      </c>
      <c r="AH29" s="735">
        <f t="shared" si="32"/>
        <v>0</v>
      </c>
      <c r="AI29" s="735">
        <f t="shared" si="32"/>
        <v>0</v>
      </c>
      <c r="AJ29" s="735">
        <f t="shared" si="32"/>
        <v>0</v>
      </c>
      <c r="AK29" s="735">
        <f t="shared" si="32"/>
        <v>0</v>
      </c>
      <c r="AL29" s="735">
        <f t="shared" si="32"/>
        <v>0</v>
      </c>
      <c r="AM29" s="735">
        <f t="shared" si="32"/>
        <v>0</v>
      </c>
      <c r="AN29" s="735">
        <f t="shared" si="32"/>
        <v>0</v>
      </c>
      <c r="AO29" s="735">
        <f t="shared" si="32"/>
        <v>0</v>
      </c>
      <c r="AP29" s="735">
        <f t="shared" si="32"/>
        <v>0</v>
      </c>
      <c r="AQ29" s="735">
        <f t="shared" si="32"/>
        <v>0</v>
      </c>
    </row>
    <row r="30" spans="1:44" s="74" customFormat="1" ht="6.75" customHeight="1">
      <c r="C30" s="736"/>
      <c r="D30" s="702"/>
      <c r="E30" s="697"/>
      <c r="F30" s="697"/>
      <c r="G30" s="697"/>
      <c r="H30" s="697"/>
      <c r="I30" s="697"/>
      <c r="J30" s="697"/>
      <c r="K30" s="697"/>
      <c r="L30" s="697"/>
      <c r="M30" s="697"/>
      <c r="N30" s="697"/>
      <c r="O30" s="697"/>
      <c r="P30" s="697"/>
      <c r="Q30" s="697"/>
      <c r="R30" s="697"/>
      <c r="S30" s="697"/>
      <c r="T30" s="697"/>
      <c r="U30" s="697"/>
      <c r="V30" s="697"/>
      <c r="W30" s="697"/>
      <c r="X30" s="697"/>
      <c r="Y30" s="697"/>
      <c r="Z30" s="697"/>
      <c r="AA30" s="697"/>
      <c r="AB30" s="697"/>
      <c r="AC30" s="697"/>
      <c r="AD30" s="697"/>
      <c r="AE30" s="697"/>
      <c r="AF30" s="697"/>
      <c r="AG30" s="697"/>
      <c r="AH30" s="697"/>
      <c r="AI30" s="697"/>
      <c r="AJ30" s="697"/>
      <c r="AK30" s="697"/>
      <c r="AL30" s="697"/>
      <c r="AM30" s="697"/>
      <c r="AN30" s="697"/>
      <c r="AO30" s="697"/>
      <c r="AP30" s="697"/>
      <c r="AQ30" s="697"/>
    </row>
    <row r="31" spans="1:44" s="74" customFormat="1" ht="12">
      <c r="A31" s="711" t="s">
        <v>134</v>
      </c>
      <c r="B31" s="711"/>
      <c r="C31" s="712"/>
      <c r="D31" s="726">
        <f t="shared" ref="D31:R31" si="33">D20-D29</f>
        <v>0</v>
      </c>
      <c r="E31" s="727">
        <f t="shared" si="33"/>
        <v>0</v>
      </c>
      <c r="F31" s="727">
        <f t="shared" si="33"/>
        <v>0</v>
      </c>
      <c r="G31" s="727">
        <f t="shared" si="33"/>
        <v>0</v>
      </c>
      <c r="H31" s="727">
        <f t="shared" si="33"/>
        <v>0</v>
      </c>
      <c r="I31" s="727">
        <f t="shared" si="33"/>
        <v>0</v>
      </c>
      <c r="J31" s="727">
        <f t="shared" si="33"/>
        <v>0</v>
      </c>
      <c r="K31" s="727">
        <f t="shared" si="33"/>
        <v>0</v>
      </c>
      <c r="L31" s="727">
        <f t="shared" si="33"/>
        <v>0</v>
      </c>
      <c r="M31" s="727">
        <f t="shared" si="33"/>
        <v>0</v>
      </c>
      <c r="N31" s="727">
        <f t="shared" si="33"/>
        <v>0</v>
      </c>
      <c r="O31" s="727">
        <f t="shared" si="33"/>
        <v>0</v>
      </c>
      <c r="P31" s="727">
        <f t="shared" si="33"/>
        <v>0</v>
      </c>
      <c r="Q31" s="727">
        <f t="shared" si="33"/>
        <v>0</v>
      </c>
      <c r="R31" s="727">
        <f t="shared" si="33"/>
        <v>0</v>
      </c>
      <c r="S31" s="727">
        <f t="shared" ref="S31:AQ31" si="34">S20-S29</f>
        <v>0</v>
      </c>
      <c r="T31" s="727">
        <f t="shared" si="34"/>
        <v>0</v>
      </c>
      <c r="U31" s="727">
        <f t="shared" si="34"/>
        <v>0</v>
      </c>
      <c r="V31" s="727">
        <f t="shared" si="34"/>
        <v>0</v>
      </c>
      <c r="W31" s="727">
        <f t="shared" si="34"/>
        <v>0</v>
      </c>
      <c r="X31" s="727">
        <f t="shared" si="34"/>
        <v>0</v>
      </c>
      <c r="Y31" s="727">
        <f t="shared" si="34"/>
        <v>0</v>
      </c>
      <c r="Z31" s="727">
        <f t="shared" si="34"/>
        <v>0</v>
      </c>
      <c r="AA31" s="727">
        <f t="shared" si="34"/>
        <v>0</v>
      </c>
      <c r="AB31" s="727">
        <f t="shared" si="34"/>
        <v>0</v>
      </c>
      <c r="AC31" s="727">
        <f t="shared" si="34"/>
        <v>0</v>
      </c>
      <c r="AD31" s="727">
        <f t="shared" si="34"/>
        <v>0</v>
      </c>
      <c r="AE31" s="727">
        <f t="shared" si="34"/>
        <v>0</v>
      </c>
      <c r="AF31" s="727">
        <f t="shared" si="34"/>
        <v>0</v>
      </c>
      <c r="AG31" s="727">
        <f t="shared" si="34"/>
        <v>0</v>
      </c>
      <c r="AH31" s="727">
        <f t="shared" si="34"/>
        <v>0</v>
      </c>
      <c r="AI31" s="727">
        <f t="shared" si="34"/>
        <v>0</v>
      </c>
      <c r="AJ31" s="727">
        <f t="shared" si="34"/>
        <v>0</v>
      </c>
      <c r="AK31" s="727">
        <f t="shared" si="34"/>
        <v>0</v>
      </c>
      <c r="AL31" s="727">
        <f t="shared" si="34"/>
        <v>0</v>
      </c>
      <c r="AM31" s="727">
        <f t="shared" si="34"/>
        <v>0</v>
      </c>
      <c r="AN31" s="727">
        <f t="shared" si="34"/>
        <v>0</v>
      </c>
      <c r="AO31" s="727">
        <f t="shared" si="34"/>
        <v>0</v>
      </c>
      <c r="AP31" s="727">
        <f t="shared" si="34"/>
        <v>0</v>
      </c>
      <c r="AQ31" s="727">
        <f t="shared" si="34"/>
        <v>0</v>
      </c>
    </row>
    <row r="32" spans="1:44" s="74" customFormat="1" ht="5.25" customHeight="1">
      <c r="C32" s="737"/>
      <c r="D32" s="726"/>
      <c r="E32" s="727"/>
      <c r="F32" s="727"/>
      <c r="G32" s="727"/>
      <c r="H32" s="727"/>
      <c r="I32" s="727"/>
      <c r="J32" s="727"/>
      <c r="K32" s="727"/>
      <c r="L32" s="727"/>
      <c r="M32" s="727"/>
      <c r="N32" s="727"/>
      <c r="O32" s="727"/>
      <c r="P32" s="727"/>
      <c r="Q32" s="727"/>
      <c r="R32" s="727"/>
      <c r="S32" s="727"/>
      <c r="T32" s="727"/>
      <c r="U32" s="727"/>
      <c r="V32" s="727"/>
      <c r="W32" s="727"/>
      <c r="X32" s="727"/>
      <c r="Y32" s="727"/>
      <c r="Z32" s="727"/>
      <c r="AA32" s="727"/>
      <c r="AB32" s="727"/>
      <c r="AC32" s="727"/>
      <c r="AD32" s="727"/>
      <c r="AE32" s="727"/>
      <c r="AF32" s="727"/>
      <c r="AG32" s="727"/>
      <c r="AH32" s="727"/>
      <c r="AI32" s="727"/>
      <c r="AJ32" s="727"/>
      <c r="AK32" s="727"/>
      <c r="AL32" s="727"/>
      <c r="AM32" s="727"/>
      <c r="AN32" s="727"/>
      <c r="AO32" s="727"/>
      <c r="AP32" s="727"/>
      <c r="AQ32" s="727"/>
    </row>
    <row r="33" spans="1:54" s="74" customFormat="1" ht="12">
      <c r="A33" s="738" t="s">
        <v>852</v>
      </c>
      <c r="B33" s="738"/>
      <c r="C33" s="717"/>
      <c r="D33" s="739"/>
      <c r="E33" s="720"/>
      <c r="F33" s="720"/>
      <c r="G33" s="720"/>
      <c r="H33" s="720"/>
      <c r="I33" s="720"/>
      <c r="J33" s="720"/>
      <c r="K33" s="720"/>
      <c r="L33" s="720"/>
      <c r="M33" s="720"/>
      <c r="N33" s="720"/>
      <c r="O33" s="720"/>
      <c r="P33" s="720"/>
      <c r="Q33" s="720"/>
      <c r="R33" s="720"/>
      <c r="S33" s="720"/>
      <c r="T33" s="720"/>
      <c r="U33" s="720"/>
      <c r="V33" s="720"/>
      <c r="W33" s="720"/>
      <c r="X33" s="720"/>
      <c r="Y33" s="720"/>
      <c r="Z33" s="720"/>
      <c r="AA33" s="720"/>
      <c r="AB33" s="720"/>
      <c r="AC33" s="720"/>
      <c r="AD33" s="720"/>
      <c r="AE33" s="720"/>
      <c r="AF33" s="720"/>
      <c r="AG33" s="720"/>
      <c r="AH33" s="720"/>
      <c r="AI33" s="720"/>
      <c r="AJ33" s="720"/>
      <c r="AK33" s="720"/>
      <c r="AL33" s="720"/>
      <c r="AM33" s="720"/>
      <c r="AN33" s="720"/>
      <c r="AO33" s="720"/>
      <c r="AP33" s="720"/>
      <c r="AQ33" s="720"/>
    </row>
    <row r="34" spans="1:54" s="74" customFormat="1" ht="24" customHeight="1">
      <c r="A34" s="2470" t="s">
        <v>1068</v>
      </c>
      <c r="B34" s="2471"/>
      <c r="C34" s="698">
        <v>3.5000000000000003E-2</v>
      </c>
      <c r="D34" s="702">
        <f>+'Operating '!D110-'Operating '!D92-'Operating '!D108</f>
        <v>0</v>
      </c>
      <c r="E34" s="697">
        <f t="shared" ref="E34:Q34" si="35">(1+$C$34)*D34</f>
        <v>0</v>
      </c>
      <c r="F34" s="697">
        <f t="shared" si="35"/>
        <v>0</v>
      </c>
      <c r="G34" s="697">
        <f t="shared" si="35"/>
        <v>0</v>
      </c>
      <c r="H34" s="697">
        <f t="shared" si="35"/>
        <v>0</v>
      </c>
      <c r="I34" s="697">
        <f t="shared" si="35"/>
        <v>0</v>
      </c>
      <c r="J34" s="697">
        <f t="shared" si="35"/>
        <v>0</v>
      </c>
      <c r="K34" s="697">
        <f t="shared" si="35"/>
        <v>0</v>
      </c>
      <c r="L34" s="697">
        <f t="shared" si="35"/>
        <v>0</v>
      </c>
      <c r="M34" s="697">
        <f t="shared" si="35"/>
        <v>0</v>
      </c>
      <c r="N34" s="697">
        <f t="shared" si="35"/>
        <v>0</v>
      </c>
      <c r="O34" s="697">
        <f t="shared" si="35"/>
        <v>0</v>
      </c>
      <c r="P34" s="697">
        <f t="shared" si="35"/>
        <v>0</v>
      </c>
      <c r="Q34" s="697">
        <f t="shared" si="35"/>
        <v>0</v>
      </c>
      <c r="R34" s="697">
        <f>(1+$C$34)*Q34</f>
        <v>0</v>
      </c>
      <c r="S34" s="697">
        <f t="shared" ref="S34:AQ34" si="36">(1+$C$34)*R34</f>
        <v>0</v>
      </c>
      <c r="T34" s="697">
        <f t="shared" si="36"/>
        <v>0</v>
      </c>
      <c r="U34" s="697">
        <f t="shared" si="36"/>
        <v>0</v>
      </c>
      <c r="V34" s="697">
        <f t="shared" si="36"/>
        <v>0</v>
      </c>
      <c r="W34" s="697">
        <f t="shared" si="36"/>
        <v>0</v>
      </c>
      <c r="X34" s="697">
        <f t="shared" si="36"/>
        <v>0</v>
      </c>
      <c r="Y34" s="697">
        <f t="shared" si="36"/>
        <v>0</v>
      </c>
      <c r="Z34" s="697">
        <f t="shared" si="36"/>
        <v>0</v>
      </c>
      <c r="AA34" s="697">
        <f t="shared" si="36"/>
        <v>0</v>
      </c>
      <c r="AB34" s="697">
        <f t="shared" si="36"/>
        <v>0</v>
      </c>
      <c r="AC34" s="697">
        <f t="shared" si="36"/>
        <v>0</v>
      </c>
      <c r="AD34" s="697">
        <f t="shared" si="36"/>
        <v>0</v>
      </c>
      <c r="AE34" s="697">
        <f t="shared" si="36"/>
        <v>0</v>
      </c>
      <c r="AF34" s="697">
        <f t="shared" si="36"/>
        <v>0</v>
      </c>
      <c r="AG34" s="697">
        <f t="shared" si="36"/>
        <v>0</v>
      </c>
      <c r="AH34" s="697">
        <f t="shared" si="36"/>
        <v>0</v>
      </c>
      <c r="AI34" s="697">
        <f t="shared" si="36"/>
        <v>0</v>
      </c>
      <c r="AJ34" s="697">
        <f t="shared" si="36"/>
        <v>0</v>
      </c>
      <c r="AK34" s="697">
        <f t="shared" si="36"/>
        <v>0</v>
      </c>
      <c r="AL34" s="697">
        <f t="shared" si="36"/>
        <v>0</v>
      </c>
      <c r="AM34" s="697">
        <f t="shared" si="36"/>
        <v>0</v>
      </c>
      <c r="AN34" s="697">
        <f t="shared" si="36"/>
        <v>0</v>
      </c>
      <c r="AO34" s="697">
        <f t="shared" si="36"/>
        <v>0</v>
      </c>
      <c r="AP34" s="697">
        <f t="shared" si="36"/>
        <v>0</v>
      </c>
      <c r="AQ34" s="697">
        <f t="shared" si="36"/>
        <v>0</v>
      </c>
    </row>
    <row r="35" spans="1:54" s="74" customFormat="1" ht="15" customHeight="1">
      <c r="A35" s="740" t="s">
        <v>902</v>
      </c>
      <c r="C35" s="698">
        <v>0.02</v>
      </c>
      <c r="D35" s="702">
        <f>+'Operating '!D92</f>
        <v>0</v>
      </c>
      <c r="E35" s="697">
        <f>(1+$C$35)*D35</f>
        <v>0</v>
      </c>
      <c r="F35" s="697">
        <f t="shared" ref="F35:Q35" si="37">(1+$C$35)*E35</f>
        <v>0</v>
      </c>
      <c r="G35" s="697">
        <f t="shared" si="37"/>
        <v>0</v>
      </c>
      <c r="H35" s="697">
        <f t="shared" si="37"/>
        <v>0</v>
      </c>
      <c r="I35" s="697">
        <f t="shared" si="37"/>
        <v>0</v>
      </c>
      <c r="J35" s="697">
        <f t="shared" si="37"/>
        <v>0</v>
      </c>
      <c r="K35" s="697">
        <f t="shared" si="37"/>
        <v>0</v>
      </c>
      <c r="L35" s="697">
        <f t="shared" si="37"/>
        <v>0</v>
      </c>
      <c r="M35" s="697">
        <f t="shared" si="37"/>
        <v>0</v>
      </c>
      <c r="N35" s="697">
        <f t="shared" si="37"/>
        <v>0</v>
      </c>
      <c r="O35" s="697">
        <f t="shared" si="37"/>
        <v>0</v>
      </c>
      <c r="P35" s="697">
        <f t="shared" si="37"/>
        <v>0</v>
      </c>
      <c r="Q35" s="697">
        <f t="shared" si="37"/>
        <v>0</v>
      </c>
      <c r="R35" s="697">
        <f>(1+$C$35)*Q35</f>
        <v>0</v>
      </c>
      <c r="S35" s="697">
        <f t="shared" ref="S35:AQ35" si="38">(1+$C$35)*R35</f>
        <v>0</v>
      </c>
      <c r="T35" s="697">
        <f t="shared" si="38"/>
        <v>0</v>
      </c>
      <c r="U35" s="697">
        <f t="shared" si="38"/>
        <v>0</v>
      </c>
      <c r="V35" s="697">
        <f t="shared" si="38"/>
        <v>0</v>
      </c>
      <c r="W35" s="697">
        <f t="shared" si="38"/>
        <v>0</v>
      </c>
      <c r="X35" s="697">
        <f t="shared" si="38"/>
        <v>0</v>
      </c>
      <c r="Y35" s="697">
        <f t="shared" si="38"/>
        <v>0</v>
      </c>
      <c r="Z35" s="697">
        <f t="shared" si="38"/>
        <v>0</v>
      </c>
      <c r="AA35" s="697">
        <f t="shared" si="38"/>
        <v>0</v>
      </c>
      <c r="AB35" s="697">
        <f t="shared" si="38"/>
        <v>0</v>
      </c>
      <c r="AC35" s="697">
        <f t="shared" si="38"/>
        <v>0</v>
      </c>
      <c r="AD35" s="697">
        <f t="shared" si="38"/>
        <v>0</v>
      </c>
      <c r="AE35" s="697">
        <f t="shared" si="38"/>
        <v>0</v>
      </c>
      <c r="AF35" s="697">
        <f t="shared" si="38"/>
        <v>0</v>
      </c>
      <c r="AG35" s="697">
        <f t="shared" si="38"/>
        <v>0</v>
      </c>
      <c r="AH35" s="697">
        <f t="shared" si="38"/>
        <v>0</v>
      </c>
      <c r="AI35" s="697">
        <f t="shared" si="38"/>
        <v>0</v>
      </c>
      <c r="AJ35" s="697">
        <f t="shared" si="38"/>
        <v>0</v>
      </c>
      <c r="AK35" s="697">
        <f t="shared" si="38"/>
        <v>0</v>
      </c>
      <c r="AL35" s="697">
        <f t="shared" si="38"/>
        <v>0</v>
      </c>
      <c r="AM35" s="697">
        <f t="shared" si="38"/>
        <v>0</v>
      </c>
      <c r="AN35" s="697">
        <f t="shared" si="38"/>
        <v>0</v>
      </c>
      <c r="AO35" s="697">
        <f t="shared" si="38"/>
        <v>0</v>
      </c>
      <c r="AP35" s="697">
        <f t="shared" si="38"/>
        <v>0</v>
      </c>
      <c r="AQ35" s="697">
        <f t="shared" si="38"/>
        <v>0</v>
      </c>
    </row>
    <row r="36" spans="1:54" s="74" customFormat="1" ht="12">
      <c r="A36" s="740" t="s">
        <v>1067</v>
      </c>
      <c r="B36" s="740"/>
      <c r="C36" s="698">
        <v>2.5000000000000001E-2</v>
      </c>
      <c r="D36" s="702">
        <f>'Operating '!D108</f>
        <v>0</v>
      </c>
      <c r="E36" s="697">
        <f>(1+$C$36)*D36</f>
        <v>0</v>
      </c>
      <c r="F36" s="697">
        <f>(1+$C$36)*E36</f>
        <v>0</v>
      </c>
      <c r="G36" s="697">
        <f t="shared" ref="G36:AQ36" si="39">(1+$C$36)*F36</f>
        <v>0</v>
      </c>
      <c r="H36" s="697">
        <f t="shared" si="39"/>
        <v>0</v>
      </c>
      <c r="I36" s="697">
        <f t="shared" si="39"/>
        <v>0</v>
      </c>
      <c r="J36" s="697">
        <f t="shared" si="39"/>
        <v>0</v>
      </c>
      <c r="K36" s="697">
        <f t="shared" si="39"/>
        <v>0</v>
      </c>
      <c r="L36" s="697">
        <f t="shared" si="39"/>
        <v>0</v>
      </c>
      <c r="M36" s="697">
        <f t="shared" si="39"/>
        <v>0</v>
      </c>
      <c r="N36" s="697">
        <f t="shared" si="39"/>
        <v>0</v>
      </c>
      <c r="O36" s="697">
        <f t="shared" si="39"/>
        <v>0</v>
      </c>
      <c r="P36" s="697">
        <f t="shared" si="39"/>
        <v>0</v>
      </c>
      <c r="Q36" s="697">
        <f t="shared" si="39"/>
        <v>0</v>
      </c>
      <c r="R36" s="697">
        <f t="shared" si="39"/>
        <v>0</v>
      </c>
      <c r="S36" s="697">
        <f t="shared" si="39"/>
        <v>0</v>
      </c>
      <c r="T36" s="697">
        <f t="shared" si="39"/>
        <v>0</v>
      </c>
      <c r="U36" s="697">
        <f t="shared" si="39"/>
        <v>0</v>
      </c>
      <c r="V36" s="697">
        <f t="shared" si="39"/>
        <v>0</v>
      </c>
      <c r="W36" s="697">
        <f t="shared" si="39"/>
        <v>0</v>
      </c>
      <c r="X36" s="697">
        <f t="shared" si="39"/>
        <v>0</v>
      </c>
      <c r="Y36" s="697">
        <f t="shared" si="39"/>
        <v>0</v>
      </c>
      <c r="Z36" s="697">
        <f t="shared" si="39"/>
        <v>0</v>
      </c>
      <c r="AA36" s="697">
        <f t="shared" si="39"/>
        <v>0</v>
      </c>
      <c r="AB36" s="697">
        <f t="shared" si="39"/>
        <v>0</v>
      </c>
      <c r="AC36" s="697">
        <f t="shared" si="39"/>
        <v>0</v>
      </c>
      <c r="AD36" s="697">
        <f t="shared" si="39"/>
        <v>0</v>
      </c>
      <c r="AE36" s="697">
        <f t="shared" si="39"/>
        <v>0</v>
      </c>
      <c r="AF36" s="697">
        <f t="shared" si="39"/>
        <v>0</v>
      </c>
      <c r="AG36" s="697">
        <f t="shared" si="39"/>
        <v>0</v>
      </c>
      <c r="AH36" s="697">
        <f t="shared" si="39"/>
        <v>0</v>
      </c>
      <c r="AI36" s="697">
        <f t="shared" si="39"/>
        <v>0</v>
      </c>
      <c r="AJ36" s="697">
        <f t="shared" si="39"/>
        <v>0</v>
      </c>
      <c r="AK36" s="697">
        <f t="shared" si="39"/>
        <v>0</v>
      </c>
      <c r="AL36" s="697">
        <f t="shared" si="39"/>
        <v>0</v>
      </c>
      <c r="AM36" s="697">
        <f t="shared" si="39"/>
        <v>0</v>
      </c>
      <c r="AN36" s="697">
        <f t="shared" si="39"/>
        <v>0</v>
      </c>
      <c r="AO36" s="697">
        <f t="shared" si="39"/>
        <v>0</v>
      </c>
      <c r="AP36" s="697">
        <f t="shared" si="39"/>
        <v>0</v>
      </c>
      <c r="AQ36" s="697">
        <f t="shared" si="39"/>
        <v>0</v>
      </c>
      <c r="AR36" s="697"/>
    </row>
    <row r="37" spans="1:54" s="74" customFormat="1" ht="12">
      <c r="A37" s="740" t="s">
        <v>135</v>
      </c>
      <c r="B37" s="740"/>
      <c r="C37" s="698">
        <v>0</v>
      </c>
      <c r="D37" s="702">
        <f>+'Operating '!D112+'Operating '!E112</f>
        <v>0</v>
      </c>
      <c r="E37" s="697">
        <f t="shared" ref="E37:Q37" si="40">(1+$C$37)*D37</f>
        <v>0</v>
      </c>
      <c r="F37" s="697">
        <f t="shared" si="40"/>
        <v>0</v>
      </c>
      <c r="G37" s="697">
        <f t="shared" si="40"/>
        <v>0</v>
      </c>
      <c r="H37" s="697">
        <f t="shared" si="40"/>
        <v>0</v>
      </c>
      <c r="I37" s="697">
        <f t="shared" si="40"/>
        <v>0</v>
      </c>
      <c r="J37" s="697">
        <f t="shared" si="40"/>
        <v>0</v>
      </c>
      <c r="K37" s="697">
        <f t="shared" si="40"/>
        <v>0</v>
      </c>
      <c r="L37" s="697">
        <f t="shared" si="40"/>
        <v>0</v>
      </c>
      <c r="M37" s="697">
        <f t="shared" si="40"/>
        <v>0</v>
      </c>
      <c r="N37" s="697">
        <f t="shared" si="40"/>
        <v>0</v>
      </c>
      <c r="O37" s="697">
        <f t="shared" si="40"/>
        <v>0</v>
      </c>
      <c r="P37" s="697">
        <f t="shared" si="40"/>
        <v>0</v>
      </c>
      <c r="Q37" s="697">
        <f t="shared" si="40"/>
        <v>0</v>
      </c>
      <c r="R37" s="697">
        <f>(1+$C$37)*Q37</f>
        <v>0</v>
      </c>
      <c r="S37" s="697">
        <f t="shared" ref="S37:AQ37" si="41">(1+$C$37)*R37</f>
        <v>0</v>
      </c>
      <c r="T37" s="697">
        <f t="shared" si="41"/>
        <v>0</v>
      </c>
      <c r="U37" s="697">
        <f t="shared" si="41"/>
        <v>0</v>
      </c>
      <c r="V37" s="697">
        <f t="shared" si="41"/>
        <v>0</v>
      </c>
      <c r="W37" s="697">
        <f t="shared" si="41"/>
        <v>0</v>
      </c>
      <c r="X37" s="697">
        <f t="shared" si="41"/>
        <v>0</v>
      </c>
      <c r="Y37" s="697">
        <f t="shared" si="41"/>
        <v>0</v>
      </c>
      <c r="Z37" s="697">
        <f t="shared" si="41"/>
        <v>0</v>
      </c>
      <c r="AA37" s="697">
        <f t="shared" si="41"/>
        <v>0</v>
      </c>
      <c r="AB37" s="697">
        <f t="shared" si="41"/>
        <v>0</v>
      </c>
      <c r="AC37" s="697">
        <f t="shared" si="41"/>
        <v>0</v>
      </c>
      <c r="AD37" s="697">
        <f t="shared" si="41"/>
        <v>0</v>
      </c>
      <c r="AE37" s="697">
        <f t="shared" si="41"/>
        <v>0</v>
      </c>
      <c r="AF37" s="697">
        <f t="shared" si="41"/>
        <v>0</v>
      </c>
      <c r="AG37" s="697">
        <f t="shared" si="41"/>
        <v>0</v>
      </c>
      <c r="AH37" s="697">
        <f t="shared" si="41"/>
        <v>0</v>
      </c>
      <c r="AI37" s="697">
        <f t="shared" si="41"/>
        <v>0</v>
      </c>
      <c r="AJ37" s="697">
        <f t="shared" si="41"/>
        <v>0</v>
      </c>
      <c r="AK37" s="697">
        <f t="shared" si="41"/>
        <v>0</v>
      </c>
      <c r="AL37" s="697">
        <f t="shared" si="41"/>
        <v>0</v>
      </c>
      <c r="AM37" s="697">
        <f t="shared" si="41"/>
        <v>0</v>
      </c>
      <c r="AN37" s="697">
        <f t="shared" si="41"/>
        <v>0</v>
      </c>
      <c r="AO37" s="697">
        <f t="shared" si="41"/>
        <v>0</v>
      </c>
      <c r="AP37" s="697">
        <f t="shared" si="41"/>
        <v>0</v>
      </c>
      <c r="AQ37" s="697">
        <f t="shared" si="41"/>
        <v>0</v>
      </c>
    </row>
    <row r="38" spans="1:54" s="74" customFormat="1" ht="12">
      <c r="A38" s="740" t="s">
        <v>851</v>
      </c>
      <c r="B38" s="740"/>
      <c r="C38" s="698">
        <v>0</v>
      </c>
      <c r="D38" s="702">
        <f>+'Operating '!D113+'Operating '!D114+'Operating '!D115+'Operating '!E113+'Operating '!E114+'Operating '!E115</f>
        <v>0</v>
      </c>
      <c r="E38" s="697">
        <f>(1+$C$38)*D38</f>
        <v>0</v>
      </c>
      <c r="F38" s="697">
        <f t="shared" ref="F38:Q38" si="42">(1+$C$38)*E38</f>
        <v>0</v>
      </c>
      <c r="G38" s="697">
        <f t="shared" si="42"/>
        <v>0</v>
      </c>
      <c r="H38" s="697">
        <f t="shared" si="42"/>
        <v>0</v>
      </c>
      <c r="I38" s="697">
        <f t="shared" si="42"/>
        <v>0</v>
      </c>
      <c r="J38" s="697">
        <f t="shared" si="42"/>
        <v>0</v>
      </c>
      <c r="K38" s="697">
        <f t="shared" si="42"/>
        <v>0</v>
      </c>
      <c r="L38" s="697">
        <f t="shared" si="42"/>
        <v>0</v>
      </c>
      <c r="M38" s="697">
        <f t="shared" si="42"/>
        <v>0</v>
      </c>
      <c r="N38" s="697">
        <f t="shared" si="42"/>
        <v>0</v>
      </c>
      <c r="O38" s="697">
        <f t="shared" si="42"/>
        <v>0</v>
      </c>
      <c r="P38" s="697">
        <f t="shared" si="42"/>
        <v>0</v>
      </c>
      <c r="Q38" s="697">
        <f t="shared" si="42"/>
        <v>0</v>
      </c>
      <c r="R38" s="697">
        <f>(1+$C$38)*Q38</f>
        <v>0</v>
      </c>
      <c r="S38" s="697">
        <f t="shared" ref="S38:AQ38" si="43">(1+$C$38)*R38</f>
        <v>0</v>
      </c>
      <c r="T38" s="697">
        <f t="shared" si="43"/>
        <v>0</v>
      </c>
      <c r="U38" s="697">
        <f t="shared" si="43"/>
        <v>0</v>
      </c>
      <c r="V38" s="697">
        <f t="shared" si="43"/>
        <v>0</v>
      </c>
      <c r="W38" s="697">
        <f t="shared" si="43"/>
        <v>0</v>
      </c>
      <c r="X38" s="697">
        <f t="shared" si="43"/>
        <v>0</v>
      </c>
      <c r="Y38" s="697">
        <f t="shared" si="43"/>
        <v>0</v>
      </c>
      <c r="Z38" s="697">
        <f t="shared" si="43"/>
        <v>0</v>
      </c>
      <c r="AA38" s="697">
        <f t="shared" si="43"/>
        <v>0</v>
      </c>
      <c r="AB38" s="697">
        <f t="shared" si="43"/>
        <v>0</v>
      </c>
      <c r="AC38" s="697">
        <f t="shared" si="43"/>
        <v>0</v>
      </c>
      <c r="AD38" s="697">
        <f t="shared" si="43"/>
        <v>0</v>
      </c>
      <c r="AE38" s="697">
        <f t="shared" si="43"/>
        <v>0</v>
      </c>
      <c r="AF38" s="697">
        <f t="shared" si="43"/>
        <v>0</v>
      </c>
      <c r="AG38" s="697">
        <f t="shared" si="43"/>
        <v>0</v>
      </c>
      <c r="AH38" s="697">
        <f t="shared" si="43"/>
        <v>0</v>
      </c>
      <c r="AI38" s="697">
        <f t="shared" si="43"/>
        <v>0</v>
      </c>
      <c r="AJ38" s="697">
        <f t="shared" si="43"/>
        <v>0</v>
      </c>
      <c r="AK38" s="697">
        <f t="shared" si="43"/>
        <v>0</v>
      </c>
      <c r="AL38" s="697">
        <f t="shared" si="43"/>
        <v>0</v>
      </c>
      <c r="AM38" s="697">
        <f t="shared" si="43"/>
        <v>0</v>
      </c>
      <c r="AN38" s="697">
        <f t="shared" si="43"/>
        <v>0</v>
      </c>
      <c r="AO38" s="697">
        <f t="shared" si="43"/>
        <v>0</v>
      </c>
      <c r="AP38" s="697">
        <f t="shared" si="43"/>
        <v>0</v>
      </c>
      <c r="AQ38" s="697">
        <f t="shared" si="43"/>
        <v>0</v>
      </c>
    </row>
    <row r="39" spans="1:54" s="74" customFormat="1" ht="12">
      <c r="A39" s="741" t="s">
        <v>874</v>
      </c>
      <c r="B39" s="741"/>
      <c r="C39" s="698">
        <v>0.02</v>
      </c>
      <c r="D39" s="721">
        <f>'Operating '!D118+'Operating '!E118</f>
        <v>0</v>
      </c>
      <c r="E39" s="697">
        <f>(1+$C$39)*D39</f>
        <v>0</v>
      </c>
      <c r="F39" s="697">
        <f t="shared" ref="F39:Q39" si="44">(1+$C$39)*E39</f>
        <v>0</v>
      </c>
      <c r="G39" s="697">
        <f t="shared" si="44"/>
        <v>0</v>
      </c>
      <c r="H39" s="697">
        <f t="shared" si="44"/>
        <v>0</v>
      </c>
      <c r="I39" s="697">
        <f t="shared" si="44"/>
        <v>0</v>
      </c>
      <c r="J39" s="697">
        <f t="shared" si="44"/>
        <v>0</v>
      </c>
      <c r="K39" s="697">
        <f t="shared" si="44"/>
        <v>0</v>
      </c>
      <c r="L39" s="697">
        <f t="shared" si="44"/>
        <v>0</v>
      </c>
      <c r="M39" s="697">
        <f t="shared" si="44"/>
        <v>0</v>
      </c>
      <c r="N39" s="697">
        <f t="shared" si="44"/>
        <v>0</v>
      </c>
      <c r="O39" s="697">
        <f t="shared" si="44"/>
        <v>0</v>
      </c>
      <c r="P39" s="697">
        <f t="shared" si="44"/>
        <v>0</v>
      </c>
      <c r="Q39" s="697">
        <f t="shared" si="44"/>
        <v>0</v>
      </c>
      <c r="R39" s="697">
        <f>(1+$C$39)*Q39</f>
        <v>0</v>
      </c>
      <c r="S39" s="697">
        <f t="shared" ref="S39:AQ39" si="45">(1+$C$39)*R39</f>
        <v>0</v>
      </c>
      <c r="T39" s="697">
        <f t="shared" si="45"/>
        <v>0</v>
      </c>
      <c r="U39" s="697">
        <f t="shared" si="45"/>
        <v>0</v>
      </c>
      <c r="V39" s="697">
        <f t="shared" si="45"/>
        <v>0</v>
      </c>
      <c r="W39" s="697">
        <f t="shared" si="45"/>
        <v>0</v>
      </c>
      <c r="X39" s="697">
        <f t="shared" si="45"/>
        <v>0</v>
      </c>
      <c r="Y39" s="697">
        <f t="shared" si="45"/>
        <v>0</v>
      </c>
      <c r="Z39" s="697">
        <f t="shared" si="45"/>
        <v>0</v>
      </c>
      <c r="AA39" s="697">
        <f t="shared" si="45"/>
        <v>0</v>
      </c>
      <c r="AB39" s="697">
        <f t="shared" si="45"/>
        <v>0</v>
      </c>
      <c r="AC39" s="697">
        <f t="shared" si="45"/>
        <v>0</v>
      </c>
      <c r="AD39" s="697">
        <f t="shared" si="45"/>
        <v>0</v>
      </c>
      <c r="AE39" s="697">
        <f t="shared" si="45"/>
        <v>0</v>
      </c>
      <c r="AF39" s="697">
        <f t="shared" si="45"/>
        <v>0</v>
      </c>
      <c r="AG39" s="697">
        <f t="shared" si="45"/>
        <v>0</v>
      </c>
      <c r="AH39" s="697">
        <f t="shared" si="45"/>
        <v>0</v>
      </c>
      <c r="AI39" s="697">
        <f t="shared" si="45"/>
        <v>0</v>
      </c>
      <c r="AJ39" s="697">
        <f t="shared" si="45"/>
        <v>0</v>
      </c>
      <c r="AK39" s="697">
        <f t="shared" si="45"/>
        <v>0</v>
      </c>
      <c r="AL39" s="697">
        <f t="shared" si="45"/>
        <v>0</v>
      </c>
      <c r="AM39" s="697">
        <f t="shared" si="45"/>
        <v>0</v>
      </c>
      <c r="AN39" s="697">
        <f t="shared" si="45"/>
        <v>0</v>
      </c>
      <c r="AO39" s="697">
        <f t="shared" si="45"/>
        <v>0</v>
      </c>
      <c r="AP39" s="697">
        <f t="shared" si="45"/>
        <v>0</v>
      </c>
      <c r="AQ39" s="697">
        <f t="shared" si="45"/>
        <v>0</v>
      </c>
    </row>
    <row r="40" spans="1:54" s="74" customFormat="1" ht="12">
      <c r="A40" s="694" t="s">
        <v>850</v>
      </c>
      <c r="B40" s="694"/>
      <c r="C40" s="698">
        <v>3.5000000000000003E-2</v>
      </c>
      <c r="D40" s="702">
        <f>'Operating '!E110</f>
        <v>0</v>
      </c>
      <c r="E40" s="697">
        <f t="shared" ref="E40:Q40" si="46">(1+$C$40)*D40</f>
        <v>0</v>
      </c>
      <c r="F40" s="697">
        <f t="shared" si="46"/>
        <v>0</v>
      </c>
      <c r="G40" s="697">
        <f t="shared" si="46"/>
        <v>0</v>
      </c>
      <c r="H40" s="697">
        <f t="shared" si="46"/>
        <v>0</v>
      </c>
      <c r="I40" s="697">
        <f t="shared" si="46"/>
        <v>0</v>
      </c>
      <c r="J40" s="697">
        <f t="shared" si="46"/>
        <v>0</v>
      </c>
      <c r="K40" s="697">
        <f t="shared" si="46"/>
        <v>0</v>
      </c>
      <c r="L40" s="697">
        <f t="shared" si="46"/>
        <v>0</v>
      </c>
      <c r="M40" s="697">
        <f t="shared" si="46"/>
        <v>0</v>
      </c>
      <c r="N40" s="697">
        <f t="shared" si="46"/>
        <v>0</v>
      </c>
      <c r="O40" s="697">
        <f t="shared" si="46"/>
        <v>0</v>
      </c>
      <c r="P40" s="697">
        <f t="shared" si="46"/>
        <v>0</v>
      </c>
      <c r="Q40" s="697">
        <f t="shared" si="46"/>
        <v>0</v>
      </c>
      <c r="R40" s="697">
        <f>(1+$C$40)*Q40</f>
        <v>0</v>
      </c>
      <c r="S40" s="697">
        <f t="shared" ref="S40:AQ40" si="47">(1+$C$40)*R40</f>
        <v>0</v>
      </c>
      <c r="T40" s="697">
        <f t="shared" si="47"/>
        <v>0</v>
      </c>
      <c r="U40" s="697">
        <f t="shared" si="47"/>
        <v>0</v>
      </c>
      <c r="V40" s="697">
        <f t="shared" si="47"/>
        <v>0</v>
      </c>
      <c r="W40" s="697">
        <f t="shared" si="47"/>
        <v>0</v>
      </c>
      <c r="X40" s="697">
        <f t="shared" si="47"/>
        <v>0</v>
      </c>
      <c r="Y40" s="697">
        <f t="shared" si="47"/>
        <v>0</v>
      </c>
      <c r="Z40" s="697">
        <f t="shared" si="47"/>
        <v>0</v>
      </c>
      <c r="AA40" s="697">
        <f t="shared" si="47"/>
        <v>0</v>
      </c>
      <c r="AB40" s="697">
        <f t="shared" si="47"/>
        <v>0</v>
      </c>
      <c r="AC40" s="697">
        <f t="shared" si="47"/>
        <v>0</v>
      </c>
      <c r="AD40" s="697">
        <f t="shared" si="47"/>
        <v>0</v>
      </c>
      <c r="AE40" s="697">
        <f t="shared" si="47"/>
        <v>0</v>
      </c>
      <c r="AF40" s="697">
        <f t="shared" si="47"/>
        <v>0</v>
      </c>
      <c r="AG40" s="697">
        <f t="shared" si="47"/>
        <v>0</v>
      </c>
      <c r="AH40" s="697">
        <f t="shared" si="47"/>
        <v>0</v>
      </c>
      <c r="AI40" s="697">
        <f t="shared" si="47"/>
        <v>0</v>
      </c>
      <c r="AJ40" s="697">
        <f t="shared" si="47"/>
        <v>0</v>
      </c>
      <c r="AK40" s="697">
        <f t="shared" si="47"/>
        <v>0</v>
      </c>
      <c r="AL40" s="697">
        <f t="shared" si="47"/>
        <v>0</v>
      </c>
      <c r="AM40" s="697">
        <f t="shared" si="47"/>
        <v>0</v>
      </c>
      <c r="AN40" s="697">
        <f t="shared" si="47"/>
        <v>0</v>
      </c>
      <c r="AO40" s="697">
        <f t="shared" si="47"/>
        <v>0</v>
      </c>
      <c r="AP40" s="697">
        <f t="shared" si="47"/>
        <v>0</v>
      </c>
      <c r="AQ40" s="697">
        <f t="shared" si="47"/>
        <v>0</v>
      </c>
    </row>
    <row r="41" spans="1:54" s="74" customFormat="1" ht="12">
      <c r="A41" s="742" t="s">
        <v>853</v>
      </c>
      <c r="B41" s="742"/>
      <c r="D41" s="743">
        <f t="shared" ref="D41:AQ41" si="48">SUM(D34:D40)</f>
        <v>0</v>
      </c>
      <c r="E41" s="744">
        <f t="shared" si="48"/>
        <v>0</v>
      </c>
      <c r="F41" s="744">
        <f t="shared" si="48"/>
        <v>0</v>
      </c>
      <c r="G41" s="744">
        <f t="shared" si="48"/>
        <v>0</v>
      </c>
      <c r="H41" s="744">
        <f t="shared" si="48"/>
        <v>0</v>
      </c>
      <c r="I41" s="744">
        <f t="shared" si="48"/>
        <v>0</v>
      </c>
      <c r="J41" s="744">
        <f t="shared" si="48"/>
        <v>0</v>
      </c>
      <c r="K41" s="744">
        <f t="shared" si="48"/>
        <v>0</v>
      </c>
      <c r="L41" s="744">
        <f t="shared" si="48"/>
        <v>0</v>
      </c>
      <c r="M41" s="744">
        <f t="shared" si="48"/>
        <v>0</v>
      </c>
      <c r="N41" s="744">
        <f t="shared" si="48"/>
        <v>0</v>
      </c>
      <c r="O41" s="744">
        <f t="shared" si="48"/>
        <v>0</v>
      </c>
      <c r="P41" s="744">
        <f t="shared" si="48"/>
        <v>0</v>
      </c>
      <c r="Q41" s="744">
        <f t="shared" si="48"/>
        <v>0</v>
      </c>
      <c r="R41" s="744">
        <f t="shared" si="48"/>
        <v>0</v>
      </c>
      <c r="S41" s="744">
        <f t="shared" si="48"/>
        <v>0</v>
      </c>
      <c r="T41" s="744">
        <f t="shared" si="48"/>
        <v>0</v>
      </c>
      <c r="U41" s="744">
        <f t="shared" si="48"/>
        <v>0</v>
      </c>
      <c r="V41" s="744">
        <f t="shared" si="48"/>
        <v>0</v>
      </c>
      <c r="W41" s="744">
        <f t="shared" si="48"/>
        <v>0</v>
      </c>
      <c r="X41" s="744">
        <f t="shared" si="48"/>
        <v>0</v>
      </c>
      <c r="Y41" s="744">
        <f t="shared" si="48"/>
        <v>0</v>
      </c>
      <c r="Z41" s="744">
        <f t="shared" si="48"/>
        <v>0</v>
      </c>
      <c r="AA41" s="744">
        <f t="shared" si="48"/>
        <v>0</v>
      </c>
      <c r="AB41" s="744">
        <f t="shared" si="48"/>
        <v>0</v>
      </c>
      <c r="AC41" s="744">
        <f t="shared" si="48"/>
        <v>0</v>
      </c>
      <c r="AD41" s="744">
        <f t="shared" si="48"/>
        <v>0</v>
      </c>
      <c r="AE41" s="744">
        <f t="shared" si="48"/>
        <v>0</v>
      </c>
      <c r="AF41" s="744">
        <f t="shared" si="48"/>
        <v>0</v>
      </c>
      <c r="AG41" s="744">
        <f t="shared" si="48"/>
        <v>0</v>
      </c>
      <c r="AH41" s="744">
        <f t="shared" si="48"/>
        <v>0</v>
      </c>
      <c r="AI41" s="744">
        <f t="shared" si="48"/>
        <v>0</v>
      </c>
      <c r="AJ41" s="744">
        <f t="shared" si="48"/>
        <v>0</v>
      </c>
      <c r="AK41" s="744">
        <f t="shared" si="48"/>
        <v>0</v>
      </c>
      <c r="AL41" s="744">
        <f t="shared" si="48"/>
        <v>0</v>
      </c>
      <c r="AM41" s="744">
        <f t="shared" si="48"/>
        <v>0</v>
      </c>
      <c r="AN41" s="744">
        <f t="shared" si="48"/>
        <v>0</v>
      </c>
      <c r="AO41" s="744">
        <f t="shared" si="48"/>
        <v>0</v>
      </c>
      <c r="AP41" s="744">
        <f t="shared" si="48"/>
        <v>0</v>
      </c>
      <c r="AQ41" s="744">
        <f t="shared" si="48"/>
        <v>0</v>
      </c>
    </row>
    <row r="42" spans="1:54" s="74" customFormat="1" ht="6.75" customHeight="1">
      <c r="A42" s="745"/>
      <c r="B42" s="745"/>
      <c r="C42" s="745"/>
      <c r="D42" s="734"/>
      <c r="E42" s="735"/>
      <c r="F42" s="735"/>
      <c r="G42" s="735"/>
      <c r="H42" s="735"/>
      <c r="I42" s="735"/>
      <c r="J42" s="735"/>
      <c r="K42" s="735"/>
      <c r="L42" s="735"/>
      <c r="M42" s="735"/>
      <c r="N42" s="735"/>
      <c r="O42" s="735"/>
      <c r="P42" s="735"/>
      <c r="Q42" s="735"/>
      <c r="R42" s="735"/>
      <c r="S42" s="735"/>
      <c r="T42" s="735"/>
      <c r="U42" s="735"/>
      <c r="V42" s="735"/>
      <c r="W42" s="735"/>
      <c r="X42" s="735"/>
      <c r="Y42" s="735"/>
      <c r="Z42" s="735"/>
      <c r="AA42" s="735"/>
      <c r="AB42" s="735"/>
      <c r="AC42" s="735"/>
      <c r="AD42" s="735"/>
      <c r="AE42" s="735"/>
      <c r="AF42" s="735"/>
      <c r="AG42" s="735"/>
      <c r="AH42" s="735"/>
      <c r="AI42" s="735"/>
      <c r="AJ42" s="735"/>
      <c r="AK42" s="735"/>
      <c r="AL42" s="735"/>
      <c r="AM42" s="735"/>
      <c r="AN42" s="735"/>
      <c r="AO42" s="735"/>
      <c r="AP42" s="735"/>
      <c r="AQ42" s="735"/>
    </row>
    <row r="43" spans="1:54" s="74" customFormat="1" thickBot="1">
      <c r="A43" s="502" t="s">
        <v>136</v>
      </c>
      <c r="B43" s="502"/>
      <c r="D43" s="746">
        <f t="shared" ref="D43:S43" si="49">D31-D41</f>
        <v>0</v>
      </c>
      <c r="E43" s="747">
        <f t="shared" si="49"/>
        <v>0</v>
      </c>
      <c r="F43" s="747">
        <f t="shared" si="49"/>
        <v>0</v>
      </c>
      <c r="G43" s="747">
        <f t="shared" si="49"/>
        <v>0</v>
      </c>
      <c r="H43" s="747">
        <f t="shared" si="49"/>
        <v>0</v>
      </c>
      <c r="I43" s="747">
        <f t="shared" si="49"/>
        <v>0</v>
      </c>
      <c r="J43" s="747">
        <f t="shared" si="49"/>
        <v>0</v>
      </c>
      <c r="K43" s="747">
        <f t="shared" si="49"/>
        <v>0</v>
      </c>
      <c r="L43" s="747">
        <f t="shared" si="49"/>
        <v>0</v>
      </c>
      <c r="M43" s="747">
        <f t="shared" si="49"/>
        <v>0</v>
      </c>
      <c r="N43" s="747">
        <f t="shared" si="49"/>
        <v>0</v>
      </c>
      <c r="O43" s="747">
        <f t="shared" si="49"/>
        <v>0</v>
      </c>
      <c r="P43" s="747">
        <f t="shared" si="49"/>
        <v>0</v>
      </c>
      <c r="Q43" s="747">
        <f t="shared" si="49"/>
        <v>0</v>
      </c>
      <c r="R43" s="747">
        <f t="shared" si="49"/>
        <v>0</v>
      </c>
      <c r="S43" s="747">
        <f t="shared" si="49"/>
        <v>0</v>
      </c>
      <c r="T43" s="747">
        <f t="shared" ref="T43:AQ43" si="50">T31-T41</f>
        <v>0</v>
      </c>
      <c r="U43" s="747">
        <f t="shared" si="50"/>
        <v>0</v>
      </c>
      <c r="V43" s="747">
        <f t="shared" si="50"/>
        <v>0</v>
      </c>
      <c r="W43" s="747">
        <f t="shared" si="50"/>
        <v>0</v>
      </c>
      <c r="X43" s="747">
        <f t="shared" si="50"/>
        <v>0</v>
      </c>
      <c r="Y43" s="747">
        <f t="shared" si="50"/>
        <v>0</v>
      </c>
      <c r="Z43" s="747">
        <f t="shared" si="50"/>
        <v>0</v>
      </c>
      <c r="AA43" s="747">
        <f t="shared" si="50"/>
        <v>0</v>
      </c>
      <c r="AB43" s="747">
        <f t="shared" si="50"/>
        <v>0</v>
      </c>
      <c r="AC43" s="747">
        <f t="shared" si="50"/>
        <v>0</v>
      </c>
      <c r="AD43" s="747">
        <f t="shared" si="50"/>
        <v>0</v>
      </c>
      <c r="AE43" s="747">
        <f t="shared" si="50"/>
        <v>0</v>
      </c>
      <c r="AF43" s="747">
        <f t="shared" si="50"/>
        <v>0</v>
      </c>
      <c r="AG43" s="747">
        <f t="shared" si="50"/>
        <v>0</v>
      </c>
      <c r="AH43" s="747">
        <f t="shared" si="50"/>
        <v>0</v>
      </c>
      <c r="AI43" s="747">
        <f t="shared" si="50"/>
        <v>0</v>
      </c>
      <c r="AJ43" s="747">
        <f t="shared" si="50"/>
        <v>0</v>
      </c>
      <c r="AK43" s="747">
        <f t="shared" si="50"/>
        <v>0</v>
      </c>
      <c r="AL43" s="747">
        <f t="shared" si="50"/>
        <v>0</v>
      </c>
      <c r="AM43" s="747">
        <f t="shared" si="50"/>
        <v>0</v>
      </c>
      <c r="AN43" s="747">
        <f t="shared" si="50"/>
        <v>0</v>
      </c>
      <c r="AO43" s="747">
        <f t="shared" si="50"/>
        <v>0</v>
      </c>
      <c r="AP43" s="747">
        <f t="shared" si="50"/>
        <v>0</v>
      </c>
      <c r="AQ43" s="747">
        <f t="shared" si="50"/>
        <v>0</v>
      </c>
    </row>
    <row r="44" spans="1:54" s="74" customFormat="1" ht="8.25" customHeight="1" thickTop="1">
      <c r="C44" s="748"/>
      <c r="D44" s="734"/>
      <c r="E44" s="735"/>
      <c r="F44" s="735"/>
      <c r="G44" s="735"/>
      <c r="H44" s="735"/>
      <c r="I44" s="735"/>
      <c r="J44" s="735"/>
      <c r="K44" s="735"/>
      <c r="L44" s="735"/>
      <c r="M44" s="735"/>
      <c r="N44" s="735"/>
      <c r="O44" s="735"/>
      <c r="P44" s="735"/>
      <c r="Q44" s="735"/>
      <c r="R44" s="735"/>
      <c r="S44" s="748"/>
      <c r="T44" s="748"/>
      <c r="U44" s="748"/>
      <c r="V44" s="748"/>
      <c r="W44" s="748"/>
      <c r="X44" s="748"/>
      <c r="Y44" s="748"/>
      <c r="Z44" s="748"/>
      <c r="AA44" s="748"/>
      <c r="AB44" s="748"/>
      <c r="AC44" s="748"/>
      <c r="AD44" s="748"/>
      <c r="AE44" s="748"/>
      <c r="AF44" s="748"/>
      <c r="AG44" s="748"/>
      <c r="AH44" s="748"/>
      <c r="AI44" s="748"/>
      <c r="AJ44" s="748"/>
      <c r="AK44" s="748"/>
      <c r="AL44" s="748"/>
      <c r="AM44" s="748"/>
      <c r="AN44" s="748"/>
      <c r="AO44" s="748"/>
      <c r="AP44" s="748"/>
      <c r="AQ44" s="748"/>
    </row>
    <row r="45" spans="1:54" s="74" customFormat="1" ht="12">
      <c r="A45" s="738" t="s">
        <v>137</v>
      </c>
      <c r="B45" s="738"/>
      <c r="C45" s="749"/>
      <c r="D45" s="750"/>
      <c r="E45" s="751"/>
      <c r="F45" s="751"/>
      <c r="G45" s="751"/>
      <c r="H45" s="751"/>
      <c r="I45" s="751"/>
      <c r="J45" s="751"/>
      <c r="K45" s="751"/>
      <c r="L45" s="751"/>
      <c r="M45" s="751"/>
      <c r="N45" s="751"/>
      <c r="O45" s="751"/>
      <c r="P45" s="751"/>
      <c r="Q45" s="751"/>
      <c r="R45" s="751"/>
      <c r="S45" s="752"/>
      <c r="T45" s="752"/>
      <c r="U45" s="752"/>
      <c r="V45" s="752"/>
      <c r="W45" s="752"/>
      <c r="X45" s="752"/>
      <c r="Y45" s="752"/>
      <c r="Z45" s="752"/>
      <c r="AA45" s="752"/>
      <c r="AB45" s="752"/>
      <c r="AC45" s="752"/>
      <c r="AD45" s="752"/>
      <c r="AE45" s="752"/>
      <c r="AF45" s="752"/>
      <c r="AG45" s="752"/>
      <c r="AH45" s="752"/>
      <c r="AI45" s="752"/>
      <c r="AJ45" s="752"/>
      <c r="AK45" s="752"/>
      <c r="AL45" s="752"/>
      <c r="AM45" s="752"/>
      <c r="AN45" s="752"/>
      <c r="AO45" s="752"/>
      <c r="AP45" s="752"/>
      <c r="AQ45" s="752"/>
    </row>
    <row r="46" spans="1:54" s="74" customFormat="1" ht="12">
      <c r="A46" s="741" t="s">
        <v>138</v>
      </c>
      <c r="B46" s="741"/>
      <c r="C46" s="741"/>
      <c r="D46" s="721">
        <f>+'Operating '!D123+'Operating '!E123</f>
        <v>0</v>
      </c>
      <c r="E46" s="753">
        <f t="shared" ref="E46:AQ46" si="51">$D$46</f>
        <v>0</v>
      </c>
      <c r="F46" s="753">
        <f t="shared" si="51"/>
        <v>0</v>
      </c>
      <c r="G46" s="753">
        <f t="shared" si="51"/>
        <v>0</v>
      </c>
      <c r="H46" s="753">
        <f t="shared" si="51"/>
        <v>0</v>
      </c>
      <c r="I46" s="753">
        <f t="shared" si="51"/>
        <v>0</v>
      </c>
      <c r="J46" s="753">
        <f t="shared" si="51"/>
        <v>0</v>
      </c>
      <c r="K46" s="753">
        <f t="shared" si="51"/>
        <v>0</v>
      </c>
      <c r="L46" s="753">
        <f t="shared" si="51"/>
        <v>0</v>
      </c>
      <c r="M46" s="753">
        <f t="shared" si="51"/>
        <v>0</v>
      </c>
      <c r="N46" s="753">
        <f t="shared" si="51"/>
        <v>0</v>
      </c>
      <c r="O46" s="753">
        <f t="shared" si="51"/>
        <v>0</v>
      </c>
      <c r="P46" s="753">
        <f t="shared" si="51"/>
        <v>0</v>
      </c>
      <c r="Q46" s="753">
        <f t="shared" si="51"/>
        <v>0</v>
      </c>
      <c r="R46" s="753">
        <f t="shared" si="51"/>
        <v>0</v>
      </c>
      <c r="S46" s="753">
        <f t="shared" si="51"/>
        <v>0</v>
      </c>
      <c r="T46" s="753">
        <f t="shared" si="51"/>
        <v>0</v>
      </c>
      <c r="U46" s="753">
        <f t="shared" si="51"/>
        <v>0</v>
      </c>
      <c r="V46" s="753">
        <f t="shared" si="51"/>
        <v>0</v>
      </c>
      <c r="W46" s="753">
        <f t="shared" si="51"/>
        <v>0</v>
      </c>
      <c r="X46" s="753">
        <f t="shared" si="51"/>
        <v>0</v>
      </c>
      <c r="Y46" s="753">
        <f t="shared" si="51"/>
        <v>0</v>
      </c>
      <c r="Z46" s="753">
        <f t="shared" si="51"/>
        <v>0</v>
      </c>
      <c r="AA46" s="753">
        <f t="shared" si="51"/>
        <v>0</v>
      </c>
      <c r="AB46" s="753">
        <f t="shared" si="51"/>
        <v>0</v>
      </c>
      <c r="AC46" s="753">
        <f t="shared" si="51"/>
        <v>0</v>
      </c>
      <c r="AD46" s="753">
        <f t="shared" si="51"/>
        <v>0</v>
      </c>
      <c r="AE46" s="753">
        <f t="shared" si="51"/>
        <v>0</v>
      </c>
      <c r="AF46" s="753">
        <f t="shared" si="51"/>
        <v>0</v>
      </c>
      <c r="AG46" s="753">
        <f t="shared" si="51"/>
        <v>0</v>
      </c>
      <c r="AH46" s="753">
        <f t="shared" si="51"/>
        <v>0</v>
      </c>
      <c r="AI46" s="753">
        <f t="shared" si="51"/>
        <v>0</v>
      </c>
      <c r="AJ46" s="753">
        <f t="shared" si="51"/>
        <v>0</v>
      </c>
      <c r="AK46" s="753">
        <f t="shared" si="51"/>
        <v>0</v>
      </c>
      <c r="AL46" s="753">
        <f t="shared" si="51"/>
        <v>0</v>
      </c>
      <c r="AM46" s="753">
        <f t="shared" si="51"/>
        <v>0</v>
      </c>
      <c r="AN46" s="753">
        <f t="shared" si="51"/>
        <v>0</v>
      </c>
      <c r="AO46" s="753">
        <f t="shared" si="51"/>
        <v>0</v>
      </c>
      <c r="AP46" s="753">
        <f t="shared" si="51"/>
        <v>0</v>
      </c>
      <c r="AQ46" s="753">
        <f t="shared" si="51"/>
        <v>0</v>
      </c>
      <c r="AR46" s="704"/>
      <c r="AS46" s="704"/>
      <c r="AT46" s="704"/>
      <c r="AU46" s="704"/>
      <c r="AV46" s="704"/>
      <c r="AW46" s="704"/>
      <c r="AX46" s="704"/>
      <c r="AY46" s="704"/>
      <c r="AZ46" s="704"/>
      <c r="BA46" s="704"/>
      <c r="BB46" s="704"/>
    </row>
    <row r="47" spans="1:54" s="74" customFormat="1" ht="12">
      <c r="A47" s="741" t="s">
        <v>799</v>
      </c>
      <c r="B47" s="741"/>
      <c r="C47" s="741"/>
      <c r="D47" s="754"/>
      <c r="E47" s="710"/>
      <c r="F47" s="710"/>
      <c r="G47" s="710"/>
      <c r="H47" s="710"/>
      <c r="I47" s="753"/>
      <c r="J47" s="753"/>
      <c r="K47" s="753"/>
      <c r="L47" s="753"/>
      <c r="M47" s="753"/>
      <c r="N47" s="753"/>
      <c r="O47" s="753"/>
      <c r="P47" s="753"/>
      <c r="Q47" s="753"/>
      <c r="R47" s="753"/>
      <c r="S47" s="753"/>
      <c r="T47" s="753"/>
      <c r="U47" s="753"/>
      <c r="V47" s="753"/>
      <c r="W47" s="753"/>
      <c r="X47" s="753"/>
      <c r="Y47" s="753"/>
      <c r="Z47" s="753"/>
      <c r="AA47" s="753"/>
      <c r="AB47" s="753"/>
      <c r="AC47" s="753"/>
      <c r="AD47" s="753"/>
      <c r="AE47" s="753"/>
      <c r="AF47" s="753"/>
      <c r="AG47" s="753"/>
      <c r="AH47" s="753"/>
      <c r="AI47" s="753"/>
      <c r="AJ47" s="753"/>
      <c r="AK47" s="753"/>
      <c r="AL47" s="753"/>
      <c r="AM47" s="753"/>
      <c r="AN47" s="753"/>
      <c r="AO47" s="753"/>
      <c r="AP47" s="753"/>
      <c r="AQ47" s="753"/>
      <c r="AR47" s="704"/>
      <c r="AS47" s="704"/>
      <c r="AT47" s="704"/>
      <c r="AU47" s="704"/>
      <c r="AV47" s="704"/>
      <c r="AW47" s="704"/>
      <c r="AX47" s="704"/>
      <c r="AY47" s="704"/>
      <c r="AZ47" s="704"/>
      <c r="BA47" s="704"/>
      <c r="BB47" s="704"/>
    </row>
    <row r="48" spans="1:54" s="74" customFormat="1" ht="12">
      <c r="A48" s="741" t="s">
        <v>139</v>
      </c>
      <c r="B48" s="741"/>
      <c r="C48" s="741"/>
      <c r="D48" s="721">
        <f>+'Operating '!D124+'Operating '!E124</f>
        <v>0</v>
      </c>
      <c r="E48" s="753">
        <f t="shared" ref="E48:AQ48" si="52">$D$48</f>
        <v>0</v>
      </c>
      <c r="F48" s="753">
        <f t="shared" si="52"/>
        <v>0</v>
      </c>
      <c r="G48" s="753">
        <f t="shared" si="52"/>
        <v>0</v>
      </c>
      <c r="H48" s="753">
        <f t="shared" si="52"/>
        <v>0</v>
      </c>
      <c r="I48" s="753">
        <f t="shared" si="52"/>
        <v>0</v>
      </c>
      <c r="J48" s="753">
        <f t="shared" si="52"/>
        <v>0</v>
      </c>
      <c r="K48" s="753">
        <f t="shared" si="52"/>
        <v>0</v>
      </c>
      <c r="L48" s="753">
        <f t="shared" si="52"/>
        <v>0</v>
      </c>
      <c r="M48" s="753">
        <f t="shared" si="52"/>
        <v>0</v>
      </c>
      <c r="N48" s="753">
        <f t="shared" si="52"/>
        <v>0</v>
      </c>
      <c r="O48" s="753">
        <f t="shared" si="52"/>
        <v>0</v>
      </c>
      <c r="P48" s="753">
        <f t="shared" si="52"/>
        <v>0</v>
      </c>
      <c r="Q48" s="753">
        <f t="shared" si="52"/>
        <v>0</v>
      </c>
      <c r="R48" s="753">
        <f t="shared" si="52"/>
        <v>0</v>
      </c>
      <c r="S48" s="753">
        <f t="shared" si="52"/>
        <v>0</v>
      </c>
      <c r="T48" s="753">
        <f t="shared" si="52"/>
        <v>0</v>
      </c>
      <c r="U48" s="753">
        <f t="shared" si="52"/>
        <v>0</v>
      </c>
      <c r="V48" s="753">
        <f t="shared" si="52"/>
        <v>0</v>
      </c>
      <c r="W48" s="753">
        <f t="shared" si="52"/>
        <v>0</v>
      </c>
      <c r="X48" s="753">
        <f t="shared" si="52"/>
        <v>0</v>
      </c>
      <c r="Y48" s="753">
        <f t="shared" si="52"/>
        <v>0</v>
      </c>
      <c r="Z48" s="753">
        <f t="shared" si="52"/>
        <v>0</v>
      </c>
      <c r="AA48" s="753">
        <f t="shared" si="52"/>
        <v>0</v>
      </c>
      <c r="AB48" s="753">
        <f t="shared" si="52"/>
        <v>0</v>
      </c>
      <c r="AC48" s="753">
        <f t="shared" si="52"/>
        <v>0</v>
      </c>
      <c r="AD48" s="753">
        <f t="shared" si="52"/>
        <v>0</v>
      </c>
      <c r="AE48" s="753">
        <f t="shared" si="52"/>
        <v>0</v>
      </c>
      <c r="AF48" s="753">
        <f t="shared" si="52"/>
        <v>0</v>
      </c>
      <c r="AG48" s="753">
        <f t="shared" si="52"/>
        <v>0</v>
      </c>
      <c r="AH48" s="753">
        <f t="shared" si="52"/>
        <v>0</v>
      </c>
      <c r="AI48" s="753">
        <f t="shared" si="52"/>
        <v>0</v>
      </c>
      <c r="AJ48" s="753">
        <f t="shared" si="52"/>
        <v>0</v>
      </c>
      <c r="AK48" s="753">
        <f t="shared" si="52"/>
        <v>0</v>
      </c>
      <c r="AL48" s="753">
        <f t="shared" si="52"/>
        <v>0</v>
      </c>
      <c r="AM48" s="753">
        <f t="shared" si="52"/>
        <v>0</v>
      </c>
      <c r="AN48" s="753">
        <f t="shared" si="52"/>
        <v>0</v>
      </c>
      <c r="AO48" s="753">
        <f t="shared" si="52"/>
        <v>0</v>
      </c>
      <c r="AP48" s="753">
        <f t="shared" si="52"/>
        <v>0</v>
      </c>
      <c r="AQ48" s="753">
        <f t="shared" si="52"/>
        <v>0</v>
      </c>
      <c r="AR48" s="704"/>
      <c r="AS48" s="704"/>
      <c r="AT48" s="704"/>
      <c r="AU48" s="704"/>
      <c r="AV48" s="704"/>
      <c r="AW48" s="704"/>
      <c r="AX48" s="704"/>
      <c r="AY48" s="704"/>
      <c r="AZ48" s="704"/>
      <c r="BA48" s="704"/>
      <c r="BB48" s="704"/>
    </row>
    <row r="49" spans="1:54" s="74" customFormat="1" ht="12">
      <c r="A49" s="741" t="s">
        <v>299</v>
      </c>
      <c r="B49" s="741"/>
      <c r="C49" s="741"/>
      <c r="D49" s="721">
        <f>+'Operating '!D125+'Operating '!E125</f>
        <v>0</v>
      </c>
      <c r="E49" s="753">
        <f t="shared" ref="E49:AQ49" si="53">$D$49</f>
        <v>0</v>
      </c>
      <c r="F49" s="753">
        <f t="shared" si="53"/>
        <v>0</v>
      </c>
      <c r="G49" s="753">
        <f t="shared" si="53"/>
        <v>0</v>
      </c>
      <c r="H49" s="753">
        <f t="shared" si="53"/>
        <v>0</v>
      </c>
      <c r="I49" s="753">
        <f t="shared" si="53"/>
        <v>0</v>
      </c>
      <c r="J49" s="753">
        <f t="shared" si="53"/>
        <v>0</v>
      </c>
      <c r="K49" s="753">
        <f t="shared" si="53"/>
        <v>0</v>
      </c>
      <c r="L49" s="753">
        <f t="shared" si="53"/>
        <v>0</v>
      </c>
      <c r="M49" s="753">
        <f t="shared" si="53"/>
        <v>0</v>
      </c>
      <c r="N49" s="753">
        <f t="shared" si="53"/>
        <v>0</v>
      </c>
      <c r="O49" s="753">
        <f t="shared" si="53"/>
        <v>0</v>
      </c>
      <c r="P49" s="753">
        <f t="shared" si="53"/>
        <v>0</v>
      </c>
      <c r="Q49" s="753">
        <f t="shared" si="53"/>
        <v>0</v>
      </c>
      <c r="R49" s="753">
        <f t="shared" si="53"/>
        <v>0</v>
      </c>
      <c r="S49" s="753">
        <f t="shared" si="53"/>
        <v>0</v>
      </c>
      <c r="T49" s="753">
        <f t="shared" si="53"/>
        <v>0</v>
      </c>
      <c r="U49" s="753">
        <f t="shared" si="53"/>
        <v>0</v>
      </c>
      <c r="V49" s="753">
        <f t="shared" si="53"/>
        <v>0</v>
      </c>
      <c r="W49" s="753">
        <f t="shared" si="53"/>
        <v>0</v>
      </c>
      <c r="X49" s="753">
        <f t="shared" si="53"/>
        <v>0</v>
      </c>
      <c r="Y49" s="753">
        <f t="shared" si="53"/>
        <v>0</v>
      </c>
      <c r="Z49" s="753">
        <f t="shared" si="53"/>
        <v>0</v>
      </c>
      <c r="AA49" s="753">
        <f t="shared" si="53"/>
        <v>0</v>
      </c>
      <c r="AB49" s="753">
        <f t="shared" si="53"/>
        <v>0</v>
      </c>
      <c r="AC49" s="753">
        <f t="shared" si="53"/>
        <v>0</v>
      </c>
      <c r="AD49" s="753">
        <f t="shared" si="53"/>
        <v>0</v>
      </c>
      <c r="AE49" s="753">
        <f t="shared" si="53"/>
        <v>0</v>
      </c>
      <c r="AF49" s="753">
        <f t="shared" si="53"/>
        <v>0</v>
      </c>
      <c r="AG49" s="753">
        <f t="shared" si="53"/>
        <v>0</v>
      </c>
      <c r="AH49" s="753">
        <f t="shared" si="53"/>
        <v>0</v>
      </c>
      <c r="AI49" s="753">
        <f t="shared" si="53"/>
        <v>0</v>
      </c>
      <c r="AJ49" s="753">
        <f t="shared" si="53"/>
        <v>0</v>
      </c>
      <c r="AK49" s="753">
        <f t="shared" si="53"/>
        <v>0</v>
      </c>
      <c r="AL49" s="753">
        <f t="shared" si="53"/>
        <v>0</v>
      </c>
      <c r="AM49" s="753">
        <f t="shared" si="53"/>
        <v>0</v>
      </c>
      <c r="AN49" s="753">
        <f t="shared" si="53"/>
        <v>0</v>
      </c>
      <c r="AO49" s="753">
        <f t="shared" si="53"/>
        <v>0</v>
      </c>
      <c r="AP49" s="753">
        <f t="shared" si="53"/>
        <v>0</v>
      </c>
      <c r="AQ49" s="753">
        <f t="shared" si="53"/>
        <v>0</v>
      </c>
      <c r="AR49" s="704"/>
      <c r="AS49" s="704"/>
      <c r="AT49" s="704"/>
      <c r="AU49" s="704"/>
      <c r="AV49" s="704"/>
      <c r="AW49" s="704"/>
      <c r="AX49" s="704"/>
      <c r="AY49" s="704"/>
      <c r="AZ49" s="704"/>
      <c r="BA49" s="704"/>
      <c r="BB49" s="704"/>
    </row>
    <row r="50" spans="1:54" s="74" customFormat="1" ht="12">
      <c r="A50" s="741" t="s">
        <v>1004</v>
      </c>
      <c r="B50" s="741"/>
      <c r="C50" s="741"/>
      <c r="D50" s="721">
        <f>+'Operating '!D126+'Operating '!E126</f>
        <v>0</v>
      </c>
      <c r="E50" s="753">
        <f>$D$50</f>
        <v>0</v>
      </c>
      <c r="F50" s="753">
        <f t="shared" ref="F50:R50" si="54">$D$50</f>
        <v>0</v>
      </c>
      <c r="G50" s="753">
        <f t="shared" si="54"/>
        <v>0</v>
      </c>
      <c r="H50" s="753">
        <f t="shared" si="54"/>
        <v>0</v>
      </c>
      <c r="I50" s="753">
        <f t="shared" si="54"/>
        <v>0</v>
      </c>
      <c r="J50" s="753">
        <f t="shared" si="54"/>
        <v>0</v>
      </c>
      <c r="K50" s="753">
        <f t="shared" si="54"/>
        <v>0</v>
      </c>
      <c r="L50" s="753">
        <f t="shared" si="54"/>
        <v>0</v>
      </c>
      <c r="M50" s="753">
        <f t="shared" si="54"/>
        <v>0</v>
      </c>
      <c r="N50" s="753">
        <f t="shared" si="54"/>
        <v>0</v>
      </c>
      <c r="O50" s="753">
        <f t="shared" si="54"/>
        <v>0</v>
      </c>
      <c r="P50" s="753">
        <f t="shared" si="54"/>
        <v>0</v>
      </c>
      <c r="Q50" s="753">
        <f t="shared" si="54"/>
        <v>0</v>
      </c>
      <c r="R50" s="753">
        <f t="shared" si="54"/>
        <v>0</v>
      </c>
      <c r="S50" s="753">
        <f t="shared" ref="S50:AQ50" si="55">R50</f>
        <v>0</v>
      </c>
      <c r="T50" s="753">
        <f t="shared" si="55"/>
        <v>0</v>
      </c>
      <c r="U50" s="753">
        <f t="shared" si="55"/>
        <v>0</v>
      </c>
      <c r="V50" s="753">
        <f t="shared" si="55"/>
        <v>0</v>
      </c>
      <c r="W50" s="753">
        <f t="shared" si="55"/>
        <v>0</v>
      </c>
      <c r="X50" s="753">
        <f t="shared" si="55"/>
        <v>0</v>
      </c>
      <c r="Y50" s="753">
        <f t="shared" si="55"/>
        <v>0</v>
      </c>
      <c r="Z50" s="753">
        <f t="shared" si="55"/>
        <v>0</v>
      </c>
      <c r="AA50" s="753">
        <f t="shared" si="55"/>
        <v>0</v>
      </c>
      <c r="AB50" s="753">
        <f t="shared" si="55"/>
        <v>0</v>
      </c>
      <c r="AC50" s="753">
        <f t="shared" si="55"/>
        <v>0</v>
      </c>
      <c r="AD50" s="753">
        <f t="shared" si="55"/>
        <v>0</v>
      </c>
      <c r="AE50" s="753">
        <f t="shared" si="55"/>
        <v>0</v>
      </c>
      <c r="AF50" s="753">
        <f t="shared" si="55"/>
        <v>0</v>
      </c>
      <c r="AG50" s="753">
        <f t="shared" si="55"/>
        <v>0</v>
      </c>
      <c r="AH50" s="753">
        <f t="shared" si="55"/>
        <v>0</v>
      </c>
      <c r="AI50" s="753">
        <f t="shared" si="55"/>
        <v>0</v>
      </c>
      <c r="AJ50" s="753">
        <f t="shared" si="55"/>
        <v>0</v>
      </c>
      <c r="AK50" s="753">
        <f t="shared" si="55"/>
        <v>0</v>
      </c>
      <c r="AL50" s="753">
        <f t="shared" si="55"/>
        <v>0</v>
      </c>
      <c r="AM50" s="753">
        <f t="shared" si="55"/>
        <v>0</v>
      </c>
      <c r="AN50" s="753">
        <f t="shared" si="55"/>
        <v>0</v>
      </c>
      <c r="AO50" s="753">
        <f t="shared" si="55"/>
        <v>0</v>
      </c>
      <c r="AP50" s="753">
        <f t="shared" si="55"/>
        <v>0</v>
      </c>
      <c r="AQ50" s="753">
        <f t="shared" si="55"/>
        <v>0</v>
      </c>
      <c r="AR50" s="704"/>
      <c r="AS50" s="704"/>
      <c r="AT50" s="704"/>
      <c r="AU50" s="704"/>
      <c r="AV50" s="704"/>
      <c r="AW50" s="704"/>
      <c r="AX50" s="704"/>
      <c r="AY50" s="704"/>
      <c r="AZ50" s="704"/>
      <c r="BA50" s="704"/>
      <c r="BB50" s="704"/>
    </row>
    <row r="51" spans="1:54" s="758" customFormat="1" ht="12" customHeight="1" thickBot="1">
      <c r="A51" s="755" t="s">
        <v>419</v>
      </c>
      <c r="B51" s="755"/>
      <c r="C51" s="755"/>
      <c r="D51" s="756">
        <f t="shared" ref="D51:S51" si="56">SUM(D46,D48,D49,D50)</f>
        <v>0</v>
      </c>
      <c r="E51" s="757">
        <f t="shared" si="56"/>
        <v>0</v>
      </c>
      <c r="F51" s="757">
        <f t="shared" si="56"/>
        <v>0</v>
      </c>
      <c r="G51" s="757">
        <f t="shared" si="56"/>
        <v>0</v>
      </c>
      <c r="H51" s="757">
        <f t="shared" si="56"/>
        <v>0</v>
      </c>
      <c r="I51" s="757">
        <f t="shared" si="56"/>
        <v>0</v>
      </c>
      <c r="J51" s="757">
        <f t="shared" si="56"/>
        <v>0</v>
      </c>
      <c r="K51" s="757">
        <f t="shared" si="56"/>
        <v>0</v>
      </c>
      <c r="L51" s="757">
        <f t="shared" si="56"/>
        <v>0</v>
      </c>
      <c r="M51" s="757">
        <f t="shared" si="56"/>
        <v>0</v>
      </c>
      <c r="N51" s="757">
        <f t="shared" si="56"/>
        <v>0</v>
      </c>
      <c r="O51" s="757">
        <f t="shared" si="56"/>
        <v>0</v>
      </c>
      <c r="P51" s="757">
        <f t="shared" si="56"/>
        <v>0</v>
      </c>
      <c r="Q51" s="757">
        <f t="shared" si="56"/>
        <v>0</v>
      </c>
      <c r="R51" s="757">
        <f t="shared" si="56"/>
        <v>0</v>
      </c>
      <c r="S51" s="757">
        <f t="shared" si="56"/>
        <v>0</v>
      </c>
      <c r="T51" s="757">
        <f t="shared" ref="T51:AQ51" si="57">SUM(T46,T48,T49,T50)</f>
        <v>0</v>
      </c>
      <c r="U51" s="757">
        <f t="shared" si="57"/>
        <v>0</v>
      </c>
      <c r="V51" s="757">
        <f t="shared" si="57"/>
        <v>0</v>
      </c>
      <c r="W51" s="757">
        <f t="shared" si="57"/>
        <v>0</v>
      </c>
      <c r="X51" s="757">
        <f t="shared" si="57"/>
        <v>0</v>
      </c>
      <c r="Y51" s="757">
        <f t="shared" si="57"/>
        <v>0</v>
      </c>
      <c r="Z51" s="757">
        <f t="shared" si="57"/>
        <v>0</v>
      </c>
      <c r="AA51" s="757">
        <f t="shared" si="57"/>
        <v>0</v>
      </c>
      <c r="AB51" s="757">
        <f t="shared" si="57"/>
        <v>0</v>
      </c>
      <c r="AC51" s="757">
        <f t="shared" si="57"/>
        <v>0</v>
      </c>
      <c r="AD51" s="757">
        <f t="shared" si="57"/>
        <v>0</v>
      </c>
      <c r="AE51" s="757">
        <f t="shared" si="57"/>
        <v>0</v>
      </c>
      <c r="AF51" s="757">
        <f t="shared" si="57"/>
        <v>0</v>
      </c>
      <c r="AG51" s="757">
        <f t="shared" si="57"/>
        <v>0</v>
      </c>
      <c r="AH51" s="757">
        <f t="shared" si="57"/>
        <v>0</v>
      </c>
      <c r="AI51" s="757">
        <f t="shared" si="57"/>
        <v>0</v>
      </c>
      <c r="AJ51" s="757">
        <f t="shared" si="57"/>
        <v>0</v>
      </c>
      <c r="AK51" s="757">
        <f t="shared" si="57"/>
        <v>0</v>
      </c>
      <c r="AL51" s="757">
        <f t="shared" si="57"/>
        <v>0</v>
      </c>
      <c r="AM51" s="757">
        <f t="shared" si="57"/>
        <v>0</v>
      </c>
      <c r="AN51" s="757">
        <f t="shared" si="57"/>
        <v>0</v>
      </c>
      <c r="AO51" s="757">
        <f t="shared" si="57"/>
        <v>0</v>
      </c>
      <c r="AP51" s="757">
        <f t="shared" si="57"/>
        <v>0</v>
      </c>
      <c r="AQ51" s="757">
        <f t="shared" si="57"/>
        <v>0</v>
      </c>
    </row>
    <row r="52" spans="1:54" s="74" customFormat="1" ht="13.5" hidden="1" thickTop="1" thickBot="1">
      <c r="A52" s="741" t="s">
        <v>140</v>
      </c>
      <c r="B52" s="741"/>
      <c r="C52" s="741"/>
      <c r="D52" s="759">
        <f t="shared" ref="D52:R52" si="58">D43-(D46+D48)</f>
        <v>0</v>
      </c>
      <c r="E52" s="760">
        <f t="shared" si="58"/>
        <v>0</v>
      </c>
      <c r="F52" s="760">
        <f t="shared" si="58"/>
        <v>0</v>
      </c>
      <c r="G52" s="760">
        <f t="shared" si="58"/>
        <v>0</v>
      </c>
      <c r="H52" s="760">
        <f t="shared" si="58"/>
        <v>0</v>
      </c>
      <c r="I52" s="760">
        <f t="shared" si="58"/>
        <v>0</v>
      </c>
      <c r="J52" s="760">
        <f t="shared" si="58"/>
        <v>0</v>
      </c>
      <c r="K52" s="760">
        <f t="shared" si="58"/>
        <v>0</v>
      </c>
      <c r="L52" s="760">
        <f t="shared" si="58"/>
        <v>0</v>
      </c>
      <c r="M52" s="760">
        <f t="shared" si="58"/>
        <v>0</v>
      </c>
      <c r="N52" s="760">
        <f t="shared" si="58"/>
        <v>0</v>
      </c>
      <c r="O52" s="760">
        <f t="shared" si="58"/>
        <v>0</v>
      </c>
      <c r="P52" s="760">
        <f t="shared" si="58"/>
        <v>0</v>
      </c>
      <c r="Q52" s="760">
        <f t="shared" si="58"/>
        <v>0</v>
      </c>
      <c r="R52" s="760">
        <f t="shared" si="58"/>
        <v>0</v>
      </c>
      <c r="S52" s="760">
        <f t="shared" ref="S52:AQ52" si="59">S43-(S46+S48)</f>
        <v>0</v>
      </c>
      <c r="T52" s="760">
        <f t="shared" si="59"/>
        <v>0</v>
      </c>
      <c r="U52" s="760">
        <f t="shared" si="59"/>
        <v>0</v>
      </c>
      <c r="V52" s="760">
        <f t="shared" si="59"/>
        <v>0</v>
      </c>
      <c r="W52" s="760">
        <f t="shared" si="59"/>
        <v>0</v>
      </c>
      <c r="X52" s="760">
        <f t="shared" si="59"/>
        <v>0</v>
      </c>
      <c r="Y52" s="760">
        <f t="shared" si="59"/>
        <v>0</v>
      </c>
      <c r="Z52" s="760">
        <f t="shared" si="59"/>
        <v>0</v>
      </c>
      <c r="AA52" s="760">
        <f t="shared" si="59"/>
        <v>0</v>
      </c>
      <c r="AB52" s="760">
        <f t="shared" si="59"/>
        <v>0</v>
      </c>
      <c r="AC52" s="760">
        <f t="shared" si="59"/>
        <v>0</v>
      </c>
      <c r="AD52" s="760">
        <f t="shared" si="59"/>
        <v>0</v>
      </c>
      <c r="AE52" s="760">
        <f t="shared" si="59"/>
        <v>0</v>
      </c>
      <c r="AF52" s="760">
        <f t="shared" si="59"/>
        <v>0</v>
      </c>
      <c r="AG52" s="760">
        <f t="shared" si="59"/>
        <v>0</v>
      </c>
      <c r="AH52" s="760">
        <f t="shared" si="59"/>
        <v>0</v>
      </c>
      <c r="AI52" s="760">
        <f t="shared" si="59"/>
        <v>0</v>
      </c>
      <c r="AJ52" s="760">
        <f t="shared" si="59"/>
        <v>0</v>
      </c>
      <c r="AK52" s="760">
        <f t="shared" si="59"/>
        <v>0</v>
      </c>
      <c r="AL52" s="760">
        <f t="shared" si="59"/>
        <v>0</v>
      </c>
      <c r="AM52" s="760">
        <f t="shared" si="59"/>
        <v>0</v>
      </c>
      <c r="AN52" s="760">
        <f t="shared" si="59"/>
        <v>0</v>
      </c>
      <c r="AO52" s="760">
        <f t="shared" si="59"/>
        <v>0</v>
      </c>
      <c r="AP52" s="760">
        <f t="shared" si="59"/>
        <v>0</v>
      </c>
      <c r="AQ52" s="760">
        <f t="shared" si="59"/>
        <v>0</v>
      </c>
    </row>
    <row r="53" spans="1:54" s="74" customFormat="1" hidden="1" thickTop="1">
      <c r="A53" s="741" t="s">
        <v>141</v>
      </c>
      <c r="B53" s="741"/>
      <c r="C53" s="761"/>
      <c r="D53" s="734" t="e">
        <f>(D43/(D46+D48))</f>
        <v>#DIV/0!</v>
      </c>
      <c r="E53" s="735" t="e">
        <f t="shared" ref="E53:R53" si="60">IF(E46="0",0,(E43/(E46+E48)))</f>
        <v>#DIV/0!</v>
      </c>
      <c r="F53" s="735" t="e">
        <f t="shared" si="60"/>
        <v>#DIV/0!</v>
      </c>
      <c r="G53" s="735" t="e">
        <f t="shared" si="60"/>
        <v>#DIV/0!</v>
      </c>
      <c r="H53" s="735" t="e">
        <f t="shared" si="60"/>
        <v>#DIV/0!</v>
      </c>
      <c r="I53" s="735" t="e">
        <f t="shared" si="60"/>
        <v>#DIV/0!</v>
      </c>
      <c r="J53" s="735" t="e">
        <f t="shared" si="60"/>
        <v>#DIV/0!</v>
      </c>
      <c r="K53" s="735" t="e">
        <f t="shared" si="60"/>
        <v>#DIV/0!</v>
      </c>
      <c r="L53" s="735" t="e">
        <f t="shared" si="60"/>
        <v>#DIV/0!</v>
      </c>
      <c r="M53" s="735" t="e">
        <f t="shared" si="60"/>
        <v>#DIV/0!</v>
      </c>
      <c r="N53" s="735" t="e">
        <f t="shared" si="60"/>
        <v>#DIV/0!</v>
      </c>
      <c r="O53" s="735" t="e">
        <f t="shared" si="60"/>
        <v>#DIV/0!</v>
      </c>
      <c r="P53" s="735" t="e">
        <f t="shared" si="60"/>
        <v>#DIV/0!</v>
      </c>
      <c r="Q53" s="735" t="e">
        <f t="shared" si="60"/>
        <v>#DIV/0!</v>
      </c>
      <c r="R53" s="735" t="e">
        <f t="shared" si="60"/>
        <v>#DIV/0!</v>
      </c>
      <c r="S53" s="735" t="e">
        <f t="shared" ref="S53:AQ53" si="61">IF(S46="0",0,(S43/(S46+S48)))</f>
        <v>#DIV/0!</v>
      </c>
      <c r="T53" s="735" t="e">
        <f t="shared" si="61"/>
        <v>#DIV/0!</v>
      </c>
      <c r="U53" s="735" t="e">
        <f t="shared" si="61"/>
        <v>#DIV/0!</v>
      </c>
      <c r="V53" s="735" t="e">
        <f t="shared" si="61"/>
        <v>#DIV/0!</v>
      </c>
      <c r="W53" s="735" t="e">
        <f t="shared" si="61"/>
        <v>#DIV/0!</v>
      </c>
      <c r="X53" s="735" t="e">
        <f t="shared" si="61"/>
        <v>#DIV/0!</v>
      </c>
      <c r="Y53" s="735" t="e">
        <f t="shared" si="61"/>
        <v>#DIV/0!</v>
      </c>
      <c r="Z53" s="735" t="e">
        <f t="shared" si="61"/>
        <v>#DIV/0!</v>
      </c>
      <c r="AA53" s="735" t="e">
        <f t="shared" si="61"/>
        <v>#DIV/0!</v>
      </c>
      <c r="AB53" s="735" t="e">
        <f t="shared" si="61"/>
        <v>#DIV/0!</v>
      </c>
      <c r="AC53" s="735" t="e">
        <f t="shared" si="61"/>
        <v>#DIV/0!</v>
      </c>
      <c r="AD53" s="735" t="e">
        <f t="shared" si="61"/>
        <v>#DIV/0!</v>
      </c>
      <c r="AE53" s="735" t="e">
        <f t="shared" si="61"/>
        <v>#DIV/0!</v>
      </c>
      <c r="AF53" s="735" t="e">
        <f t="shared" si="61"/>
        <v>#DIV/0!</v>
      </c>
      <c r="AG53" s="735" t="e">
        <f t="shared" si="61"/>
        <v>#DIV/0!</v>
      </c>
      <c r="AH53" s="735" t="e">
        <f t="shared" si="61"/>
        <v>#DIV/0!</v>
      </c>
      <c r="AI53" s="735" t="e">
        <f t="shared" si="61"/>
        <v>#DIV/0!</v>
      </c>
      <c r="AJ53" s="735" t="e">
        <f t="shared" si="61"/>
        <v>#DIV/0!</v>
      </c>
      <c r="AK53" s="735" t="e">
        <f t="shared" si="61"/>
        <v>#DIV/0!</v>
      </c>
      <c r="AL53" s="735" t="e">
        <f t="shared" si="61"/>
        <v>#DIV/0!</v>
      </c>
      <c r="AM53" s="735" t="e">
        <f t="shared" si="61"/>
        <v>#DIV/0!</v>
      </c>
      <c r="AN53" s="735" t="e">
        <f t="shared" si="61"/>
        <v>#DIV/0!</v>
      </c>
      <c r="AO53" s="735" t="e">
        <f t="shared" si="61"/>
        <v>#DIV/0!</v>
      </c>
      <c r="AP53" s="735" t="e">
        <f t="shared" si="61"/>
        <v>#DIV/0!</v>
      </c>
      <c r="AQ53" s="735" t="e">
        <f t="shared" si="61"/>
        <v>#DIV/0!</v>
      </c>
    </row>
    <row r="54" spans="1:54" s="1215" customFormat="1" thickTop="1">
      <c r="A54" s="741"/>
      <c r="B54" s="741"/>
      <c r="C54" s="761"/>
      <c r="D54" s="1218"/>
      <c r="E54" s="735"/>
      <c r="F54" s="735"/>
      <c r="G54" s="735"/>
      <c r="H54" s="735"/>
      <c r="I54" s="735"/>
      <c r="J54" s="735"/>
      <c r="K54" s="735"/>
      <c r="L54" s="735"/>
      <c r="M54" s="735"/>
      <c r="N54" s="735"/>
      <c r="O54" s="735"/>
      <c r="P54" s="735"/>
      <c r="Q54" s="735"/>
      <c r="R54" s="735"/>
      <c r="S54" s="735"/>
      <c r="T54" s="735"/>
      <c r="U54" s="735"/>
      <c r="V54" s="735"/>
      <c r="W54" s="735"/>
      <c r="X54" s="735"/>
      <c r="Y54" s="735"/>
      <c r="Z54" s="735"/>
      <c r="AA54" s="735"/>
      <c r="AB54" s="735"/>
      <c r="AC54" s="735"/>
      <c r="AD54" s="735"/>
      <c r="AE54" s="735"/>
      <c r="AF54" s="735"/>
      <c r="AG54" s="735"/>
      <c r="AH54" s="735"/>
      <c r="AI54" s="735"/>
      <c r="AJ54" s="735"/>
      <c r="AK54" s="735"/>
      <c r="AL54" s="735"/>
      <c r="AM54" s="735"/>
      <c r="AN54" s="735"/>
      <c r="AO54" s="735"/>
      <c r="AP54" s="735"/>
      <c r="AQ54" s="735"/>
    </row>
    <row r="55" spans="1:54" s="74" customFormat="1" ht="5.25" customHeight="1">
      <c r="A55" s="741"/>
      <c r="B55" s="741"/>
      <c r="C55" s="761"/>
      <c r="D55" s="735"/>
      <c r="E55" s="735"/>
      <c r="F55" s="735"/>
      <c r="G55" s="735"/>
      <c r="H55" s="735"/>
      <c r="I55" s="735"/>
      <c r="J55" s="735"/>
      <c r="K55" s="735"/>
      <c r="L55" s="735"/>
      <c r="M55" s="735"/>
      <c r="N55" s="735"/>
      <c r="O55" s="735"/>
      <c r="P55" s="735"/>
      <c r="Q55" s="735"/>
      <c r="R55" s="735"/>
      <c r="S55" s="735"/>
      <c r="T55" s="735"/>
      <c r="U55" s="735"/>
      <c r="V55" s="735"/>
      <c r="W55" s="735"/>
      <c r="X55" s="735"/>
      <c r="Y55" s="735"/>
      <c r="Z55" s="735"/>
      <c r="AA55" s="735"/>
      <c r="AB55" s="735"/>
      <c r="AC55" s="735"/>
      <c r="AD55" s="735"/>
      <c r="AE55" s="735"/>
      <c r="AF55" s="735"/>
      <c r="AG55" s="735"/>
      <c r="AH55" s="735"/>
      <c r="AI55" s="735"/>
      <c r="AJ55" s="735"/>
      <c r="AK55" s="735"/>
      <c r="AL55" s="735"/>
      <c r="AM55" s="735"/>
      <c r="AN55" s="735"/>
      <c r="AO55" s="735"/>
      <c r="AP55" s="735"/>
      <c r="AQ55" s="735"/>
    </row>
    <row r="56" spans="1:54" s="74" customFormat="1" ht="12">
      <c r="A56" s="502" t="s">
        <v>142</v>
      </c>
      <c r="B56" s="502"/>
      <c r="C56" s="502"/>
      <c r="D56" s="735">
        <f t="shared" ref="D56:AQ56" si="62">D43-D51</f>
        <v>0</v>
      </c>
      <c r="E56" s="735">
        <f t="shared" si="62"/>
        <v>0</v>
      </c>
      <c r="F56" s="735">
        <f t="shared" si="62"/>
        <v>0</v>
      </c>
      <c r="G56" s="735">
        <f t="shared" si="62"/>
        <v>0</v>
      </c>
      <c r="H56" s="735">
        <f t="shared" si="62"/>
        <v>0</v>
      </c>
      <c r="I56" s="735">
        <f t="shared" si="62"/>
        <v>0</v>
      </c>
      <c r="J56" s="735">
        <f t="shared" si="62"/>
        <v>0</v>
      </c>
      <c r="K56" s="735">
        <f t="shared" si="62"/>
        <v>0</v>
      </c>
      <c r="L56" s="735">
        <f t="shared" si="62"/>
        <v>0</v>
      </c>
      <c r="M56" s="735">
        <f t="shared" si="62"/>
        <v>0</v>
      </c>
      <c r="N56" s="735">
        <f t="shared" si="62"/>
        <v>0</v>
      </c>
      <c r="O56" s="735">
        <f t="shared" si="62"/>
        <v>0</v>
      </c>
      <c r="P56" s="735">
        <f t="shared" si="62"/>
        <v>0</v>
      </c>
      <c r="Q56" s="735">
        <f t="shared" si="62"/>
        <v>0</v>
      </c>
      <c r="R56" s="735">
        <f t="shared" si="62"/>
        <v>0</v>
      </c>
      <c r="S56" s="735">
        <f t="shared" si="62"/>
        <v>0</v>
      </c>
      <c r="T56" s="735">
        <f t="shared" si="62"/>
        <v>0</v>
      </c>
      <c r="U56" s="735">
        <f t="shared" si="62"/>
        <v>0</v>
      </c>
      <c r="V56" s="735">
        <f t="shared" si="62"/>
        <v>0</v>
      </c>
      <c r="W56" s="735">
        <f t="shared" si="62"/>
        <v>0</v>
      </c>
      <c r="X56" s="735">
        <f t="shared" si="62"/>
        <v>0</v>
      </c>
      <c r="Y56" s="735">
        <f t="shared" si="62"/>
        <v>0</v>
      </c>
      <c r="Z56" s="735">
        <f t="shared" si="62"/>
        <v>0</v>
      </c>
      <c r="AA56" s="735">
        <f t="shared" si="62"/>
        <v>0</v>
      </c>
      <c r="AB56" s="735">
        <f t="shared" si="62"/>
        <v>0</v>
      </c>
      <c r="AC56" s="735">
        <f t="shared" si="62"/>
        <v>0</v>
      </c>
      <c r="AD56" s="735">
        <f t="shared" si="62"/>
        <v>0</v>
      </c>
      <c r="AE56" s="735">
        <f t="shared" si="62"/>
        <v>0</v>
      </c>
      <c r="AF56" s="735">
        <f t="shared" si="62"/>
        <v>0</v>
      </c>
      <c r="AG56" s="735">
        <f t="shared" si="62"/>
        <v>0</v>
      </c>
      <c r="AH56" s="735">
        <f t="shared" si="62"/>
        <v>0</v>
      </c>
      <c r="AI56" s="735">
        <f t="shared" si="62"/>
        <v>0</v>
      </c>
      <c r="AJ56" s="735">
        <f t="shared" si="62"/>
        <v>0</v>
      </c>
      <c r="AK56" s="735">
        <f t="shared" si="62"/>
        <v>0</v>
      </c>
      <c r="AL56" s="735">
        <f t="shared" si="62"/>
        <v>0</v>
      </c>
      <c r="AM56" s="735">
        <f t="shared" si="62"/>
        <v>0</v>
      </c>
      <c r="AN56" s="735">
        <f t="shared" si="62"/>
        <v>0</v>
      </c>
      <c r="AO56" s="735">
        <f t="shared" si="62"/>
        <v>0</v>
      </c>
      <c r="AP56" s="735">
        <f t="shared" si="62"/>
        <v>0</v>
      </c>
      <c r="AQ56" s="735">
        <f t="shared" si="62"/>
        <v>0</v>
      </c>
    </row>
    <row r="57" spans="1:54" s="1215" customFormat="1" ht="12">
      <c r="A57" s="502" t="s">
        <v>1648</v>
      </c>
      <c r="B57" s="502"/>
      <c r="C57" s="502"/>
      <c r="D57" s="735">
        <f>'HHC COSR Calculation'!F46</f>
        <v>0</v>
      </c>
      <c r="E57" s="735">
        <f>'HHC COSR Calculation'!G46</f>
        <v>0</v>
      </c>
      <c r="F57" s="735">
        <f>'HHC COSR Calculation'!H46</f>
        <v>0</v>
      </c>
      <c r="G57" s="735">
        <f>'HHC COSR Calculation'!I46</f>
        <v>0</v>
      </c>
      <c r="H57" s="735">
        <f>'HHC COSR Calculation'!J46</f>
        <v>0</v>
      </c>
      <c r="I57" s="735">
        <f>'HHC COSR Calculation'!K46</f>
        <v>0</v>
      </c>
      <c r="J57" s="735">
        <f>'HHC COSR Calculation'!L46</f>
        <v>0</v>
      </c>
      <c r="K57" s="735">
        <f>'HHC COSR Calculation'!M46</f>
        <v>0</v>
      </c>
      <c r="L57" s="735">
        <f>'HHC COSR Calculation'!N46</f>
        <v>0</v>
      </c>
      <c r="M57" s="735">
        <f>'HHC COSR Calculation'!O46</f>
        <v>0</v>
      </c>
      <c r="N57" s="735">
        <f>'HHC COSR Calculation'!P46</f>
        <v>0</v>
      </c>
      <c r="O57" s="735">
        <f>'HHC COSR Calculation'!Q46</f>
        <v>0</v>
      </c>
      <c r="P57" s="735">
        <f>'HHC COSR Calculation'!R46</f>
        <v>0</v>
      </c>
      <c r="Q57" s="735">
        <f>'HHC COSR Calculation'!S46</f>
        <v>0</v>
      </c>
      <c r="R57" s="735">
        <f>'HHC COSR Calculation'!T46</f>
        <v>0</v>
      </c>
      <c r="S57" s="735"/>
      <c r="T57" s="735"/>
      <c r="U57" s="735"/>
      <c r="V57" s="735"/>
      <c r="W57" s="735"/>
      <c r="X57" s="735">
        <f t="shared" ref="X57:AQ57" si="63">X44-X52</f>
        <v>0</v>
      </c>
      <c r="Y57" s="735">
        <f t="shared" si="63"/>
        <v>0</v>
      </c>
      <c r="Z57" s="735">
        <f t="shared" si="63"/>
        <v>0</v>
      </c>
      <c r="AA57" s="735">
        <f t="shared" si="63"/>
        <v>0</v>
      </c>
      <c r="AB57" s="735">
        <f t="shared" si="63"/>
        <v>0</v>
      </c>
      <c r="AC57" s="735">
        <f t="shared" si="63"/>
        <v>0</v>
      </c>
      <c r="AD57" s="735">
        <f t="shared" si="63"/>
        <v>0</v>
      </c>
      <c r="AE57" s="735">
        <f t="shared" si="63"/>
        <v>0</v>
      </c>
      <c r="AF57" s="735">
        <f t="shared" si="63"/>
        <v>0</v>
      </c>
      <c r="AG57" s="735">
        <f t="shared" si="63"/>
        <v>0</v>
      </c>
      <c r="AH57" s="735">
        <f t="shared" si="63"/>
        <v>0</v>
      </c>
      <c r="AI57" s="735">
        <f t="shared" si="63"/>
        <v>0</v>
      </c>
      <c r="AJ57" s="735">
        <f t="shared" si="63"/>
        <v>0</v>
      </c>
      <c r="AK57" s="735">
        <f t="shared" si="63"/>
        <v>0</v>
      </c>
      <c r="AL57" s="735">
        <f t="shared" si="63"/>
        <v>0</v>
      </c>
      <c r="AM57" s="735">
        <f t="shared" si="63"/>
        <v>0</v>
      </c>
      <c r="AN57" s="735">
        <f t="shared" si="63"/>
        <v>0</v>
      </c>
      <c r="AO57" s="735">
        <f t="shared" si="63"/>
        <v>0</v>
      </c>
      <c r="AP57" s="735">
        <f t="shared" si="63"/>
        <v>0</v>
      </c>
      <c r="AQ57" s="735">
        <f t="shared" si="63"/>
        <v>0</v>
      </c>
    </row>
    <row r="58" spans="1:54" s="1215" customFormat="1" ht="12">
      <c r="A58" s="502" t="s">
        <v>1649</v>
      </c>
      <c r="B58" s="502"/>
      <c r="C58" s="502"/>
      <c r="D58" s="735">
        <f>SUM(D56:D57)</f>
        <v>0</v>
      </c>
      <c r="E58" s="735">
        <f t="shared" ref="E58:W58" si="64">SUM(E56:E57)</f>
        <v>0</v>
      </c>
      <c r="F58" s="735">
        <f t="shared" si="64"/>
        <v>0</v>
      </c>
      <c r="G58" s="735">
        <f t="shared" si="64"/>
        <v>0</v>
      </c>
      <c r="H58" s="735">
        <f t="shared" si="64"/>
        <v>0</v>
      </c>
      <c r="I58" s="735">
        <f t="shared" si="64"/>
        <v>0</v>
      </c>
      <c r="J58" s="735">
        <f t="shared" si="64"/>
        <v>0</v>
      </c>
      <c r="K58" s="735">
        <f t="shared" si="64"/>
        <v>0</v>
      </c>
      <c r="L58" s="735">
        <f t="shared" si="64"/>
        <v>0</v>
      </c>
      <c r="M58" s="735">
        <f t="shared" si="64"/>
        <v>0</v>
      </c>
      <c r="N58" s="735">
        <f t="shared" si="64"/>
        <v>0</v>
      </c>
      <c r="O58" s="735">
        <f t="shared" si="64"/>
        <v>0</v>
      </c>
      <c r="P58" s="735">
        <f t="shared" si="64"/>
        <v>0</v>
      </c>
      <c r="Q58" s="735">
        <f t="shared" si="64"/>
        <v>0</v>
      </c>
      <c r="R58" s="735">
        <f t="shared" si="64"/>
        <v>0</v>
      </c>
      <c r="S58" s="735">
        <f t="shared" si="64"/>
        <v>0</v>
      </c>
      <c r="T58" s="735">
        <f t="shared" si="64"/>
        <v>0</v>
      </c>
      <c r="U58" s="735">
        <f t="shared" si="64"/>
        <v>0</v>
      </c>
      <c r="V58" s="735">
        <f t="shared" si="64"/>
        <v>0</v>
      </c>
      <c r="W58" s="735">
        <f t="shared" si="64"/>
        <v>0</v>
      </c>
      <c r="X58" s="735" t="e">
        <f t="shared" ref="X58:AQ58" si="65">X45-X53</f>
        <v>#DIV/0!</v>
      </c>
      <c r="Y58" s="735" t="e">
        <f t="shared" si="65"/>
        <v>#DIV/0!</v>
      </c>
      <c r="Z58" s="735" t="e">
        <f t="shared" si="65"/>
        <v>#DIV/0!</v>
      </c>
      <c r="AA58" s="735" t="e">
        <f t="shared" si="65"/>
        <v>#DIV/0!</v>
      </c>
      <c r="AB58" s="735" t="e">
        <f t="shared" si="65"/>
        <v>#DIV/0!</v>
      </c>
      <c r="AC58" s="735" t="e">
        <f t="shared" si="65"/>
        <v>#DIV/0!</v>
      </c>
      <c r="AD58" s="735" t="e">
        <f t="shared" si="65"/>
        <v>#DIV/0!</v>
      </c>
      <c r="AE58" s="735" t="e">
        <f t="shared" si="65"/>
        <v>#DIV/0!</v>
      </c>
      <c r="AF58" s="735" t="e">
        <f t="shared" si="65"/>
        <v>#DIV/0!</v>
      </c>
      <c r="AG58" s="735" t="e">
        <f t="shared" si="65"/>
        <v>#DIV/0!</v>
      </c>
      <c r="AH58" s="735" t="e">
        <f t="shared" si="65"/>
        <v>#DIV/0!</v>
      </c>
      <c r="AI58" s="735" t="e">
        <f t="shared" si="65"/>
        <v>#DIV/0!</v>
      </c>
      <c r="AJ58" s="735" t="e">
        <f t="shared" si="65"/>
        <v>#DIV/0!</v>
      </c>
      <c r="AK58" s="735" t="e">
        <f t="shared" si="65"/>
        <v>#DIV/0!</v>
      </c>
      <c r="AL58" s="735" t="e">
        <f t="shared" si="65"/>
        <v>#DIV/0!</v>
      </c>
      <c r="AM58" s="735" t="e">
        <f t="shared" si="65"/>
        <v>#DIV/0!</v>
      </c>
      <c r="AN58" s="735" t="e">
        <f t="shared" si="65"/>
        <v>#DIV/0!</v>
      </c>
      <c r="AO58" s="735" t="e">
        <f t="shared" si="65"/>
        <v>#DIV/0!</v>
      </c>
      <c r="AP58" s="735" t="e">
        <f t="shared" si="65"/>
        <v>#DIV/0!</v>
      </c>
      <c r="AQ58" s="735" t="e">
        <f t="shared" si="65"/>
        <v>#DIV/0!</v>
      </c>
    </row>
    <row r="59" spans="1:54" s="74" customFormat="1" ht="5.25" customHeight="1">
      <c r="A59" s="502"/>
      <c r="B59" s="502"/>
      <c r="C59" s="761"/>
      <c r="D59" s="735"/>
      <c r="E59" s="735"/>
      <c r="F59" s="735"/>
      <c r="G59" s="735"/>
      <c r="H59" s="735"/>
      <c r="I59" s="735"/>
      <c r="J59" s="735"/>
      <c r="K59" s="735"/>
      <c r="L59" s="735"/>
      <c r="M59" s="735"/>
      <c r="N59" s="735"/>
      <c r="O59" s="735"/>
      <c r="P59" s="735"/>
      <c r="Q59" s="735"/>
      <c r="R59" s="735"/>
      <c r="S59" s="748"/>
      <c r="T59" s="748"/>
      <c r="U59" s="748"/>
      <c r="V59" s="748"/>
      <c r="W59" s="748"/>
      <c r="X59" s="748"/>
      <c r="Y59" s="748"/>
      <c r="Z59" s="748"/>
      <c r="AA59" s="748"/>
      <c r="AB59" s="748"/>
      <c r="AC59" s="748"/>
      <c r="AD59" s="748"/>
      <c r="AE59" s="748"/>
      <c r="AF59" s="748"/>
      <c r="AG59" s="748"/>
      <c r="AH59" s="748"/>
      <c r="AI59" s="748"/>
      <c r="AJ59" s="748"/>
      <c r="AK59" s="748"/>
      <c r="AL59" s="748"/>
      <c r="AM59" s="748"/>
      <c r="AN59" s="748"/>
      <c r="AO59" s="748"/>
      <c r="AP59" s="748"/>
      <c r="AQ59" s="748"/>
    </row>
    <row r="60" spans="1:54" s="74" customFormat="1" ht="12">
      <c r="A60" s="762" t="s">
        <v>209</v>
      </c>
      <c r="B60" s="762"/>
      <c r="C60" s="763"/>
      <c r="D60" s="764">
        <f>IF(D51&lt;=0,0,((D43+D57)/D51))</f>
        <v>0</v>
      </c>
      <c r="E60" s="764">
        <f t="shared" ref="E60:W60" si="66">IF(E51&lt;=0,0,((E43+E57)/E51))</f>
        <v>0</v>
      </c>
      <c r="F60" s="764">
        <f t="shared" si="66"/>
        <v>0</v>
      </c>
      <c r="G60" s="764">
        <f t="shared" si="66"/>
        <v>0</v>
      </c>
      <c r="H60" s="764">
        <f t="shared" si="66"/>
        <v>0</v>
      </c>
      <c r="I60" s="764">
        <f t="shared" si="66"/>
        <v>0</v>
      </c>
      <c r="J60" s="764">
        <f t="shared" si="66"/>
        <v>0</v>
      </c>
      <c r="K60" s="764">
        <f t="shared" si="66"/>
        <v>0</v>
      </c>
      <c r="L60" s="764">
        <f t="shared" si="66"/>
        <v>0</v>
      </c>
      <c r="M60" s="764">
        <f t="shared" si="66"/>
        <v>0</v>
      </c>
      <c r="N60" s="764">
        <f t="shared" si="66"/>
        <v>0</v>
      </c>
      <c r="O60" s="764">
        <f t="shared" si="66"/>
        <v>0</v>
      </c>
      <c r="P60" s="764">
        <f t="shared" si="66"/>
        <v>0</v>
      </c>
      <c r="Q60" s="764">
        <f t="shared" si="66"/>
        <v>0</v>
      </c>
      <c r="R60" s="764">
        <f t="shared" si="66"/>
        <v>0</v>
      </c>
      <c r="S60" s="764">
        <f t="shared" si="66"/>
        <v>0</v>
      </c>
      <c r="T60" s="764">
        <f t="shared" si="66"/>
        <v>0</v>
      </c>
      <c r="U60" s="764">
        <f t="shared" si="66"/>
        <v>0</v>
      </c>
      <c r="V60" s="764">
        <f t="shared" si="66"/>
        <v>0</v>
      </c>
      <c r="W60" s="764">
        <f t="shared" si="66"/>
        <v>0</v>
      </c>
      <c r="X60" s="764">
        <f t="shared" ref="X60:AQ60" si="67">IF(X51&lt;=0,0,(X43/X51))</f>
        <v>0</v>
      </c>
      <c r="Y60" s="764">
        <f t="shared" si="67"/>
        <v>0</v>
      </c>
      <c r="Z60" s="764">
        <f t="shared" si="67"/>
        <v>0</v>
      </c>
      <c r="AA60" s="764">
        <f t="shared" si="67"/>
        <v>0</v>
      </c>
      <c r="AB60" s="764">
        <f t="shared" si="67"/>
        <v>0</v>
      </c>
      <c r="AC60" s="764">
        <f t="shared" si="67"/>
        <v>0</v>
      </c>
      <c r="AD60" s="764">
        <f t="shared" si="67"/>
        <v>0</v>
      </c>
      <c r="AE60" s="764">
        <f t="shared" si="67"/>
        <v>0</v>
      </c>
      <c r="AF60" s="764">
        <f t="shared" si="67"/>
        <v>0</v>
      </c>
      <c r="AG60" s="764">
        <f t="shared" si="67"/>
        <v>0</v>
      </c>
      <c r="AH60" s="764">
        <f t="shared" si="67"/>
        <v>0</v>
      </c>
      <c r="AI60" s="764">
        <f t="shared" si="67"/>
        <v>0</v>
      </c>
      <c r="AJ60" s="764">
        <f t="shared" si="67"/>
        <v>0</v>
      </c>
      <c r="AK60" s="764">
        <f t="shared" si="67"/>
        <v>0</v>
      </c>
      <c r="AL60" s="764">
        <f t="shared" si="67"/>
        <v>0</v>
      </c>
      <c r="AM60" s="764">
        <f t="shared" si="67"/>
        <v>0</v>
      </c>
      <c r="AN60" s="764">
        <f t="shared" si="67"/>
        <v>0</v>
      </c>
      <c r="AO60" s="764">
        <f t="shared" si="67"/>
        <v>0</v>
      </c>
      <c r="AP60" s="764">
        <f t="shared" si="67"/>
        <v>0</v>
      </c>
      <c r="AQ60" s="764">
        <f t="shared" si="67"/>
        <v>0</v>
      </c>
    </row>
    <row r="61" spans="1:54" s="74" customFormat="1" ht="12">
      <c r="A61" s="765" t="s">
        <v>214</v>
      </c>
      <c r="B61" s="766"/>
      <c r="C61" s="503"/>
      <c r="D61" s="504"/>
      <c r="E61" s="767"/>
      <c r="F61" s="767"/>
      <c r="G61" s="767"/>
      <c r="H61" s="767"/>
      <c r="I61" s="767"/>
      <c r="J61" s="767"/>
      <c r="K61" s="767"/>
      <c r="L61" s="767"/>
      <c r="M61" s="767"/>
      <c r="N61" s="767"/>
      <c r="O61" s="767"/>
      <c r="P61" s="767"/>
      <c r="Q61" s="767"/>
      <c r="R61" s="767"/>
    </row>
    <row r="62" spans="1:54" s="74" customFormat="1" ht="12">
      <c r="A62" s="768" t="s">
        <v>210</v>
      </c>
      <c r="B62" s="766"/>
      <c r="C62" s="769"/>
      <c r="D62" s="770">
        <f t="shared" ref="D62:AQ62" si="68">IF(D58&gt;=D74,D74,D58)</f>
        <v>0</v>
      </c>
      <c r="E62" s="770">
        <f t="shared" si="68"/>
        <v>0</v>
      </c>
      <c r="F62" s="770">
        <f t="shared" si="68"/>
        <v>0</v>
      </c>
      <c r="G62" s="770">
        <f t="shared" si="68"/>
        <v>0</v>
      </c>
      <c r="H62" s="770">
        <f t="shared" si="68"/>
        <v>0</v>
      </c>
      <c r="I62" s="770">
        <f t="shared" si="68"/>
        <v>0</v>
      </c>
      <c r="J62" s="770">
        <f t="shared" si="68"/>
        <v>0</v>
      </c>
      <c r="K62" s="770">
        <f t="shared" si="68"/>
        <v>0</v>
      </c>
      <c r="L62" s="770">
        <f t="shared" si="68"/>
        <v>0</v>
      </c>
      <c r="M62" s="770">
        <f t="shared" si="68"/>
        <v>0</v>
      </c>
      <c r="N62" s="770">
        <f t="shared" si="68"/>
        <v>0</v>
      </c>
      <c r="O62" s="770">
        <f t="shared" si="68"/>
        <v>0</v>
      </c>
      <c r="P62" s="770">
        <f t="shared" si="68"/>
        <v>0</v>
      </c>
      <c r="Q62" s="770">
        <f t="shared" si="68"/>
        <v>0</v>
      </c>
      <c r="R62" s="770">
        <f t="shared" si="68"/>
        <v>0</v>
      </c>
      <c r="S62" s="770">
        <f t="shared" si="68"/>
        <v>0</v>
      </c>
      <c r="T62" s="770">
        <f t="shared" si="68"/>
        <v>0</v>
      </c>
      <c r="U62" s="770">
        <f t="shared" si="68"/>
        <v>0</v>
      </c>
      <c r="V62" s="770">
        <f t="shared" si="68"/>
        <v>0</v>
      </c>
      <c r="W62" s="770">
        <f t="shared" si="68"/>
        <v>0</v>
      </c>
      <c r="X62" s="770" t="e">
        <f t="shared" si="68"/>
        <v>#DIV/0!</v>
      </c>
      <c r="Y62" s="770" t="e">
        <f t="shared" si="68"/>
        <v>#DIV/0!</v>
      </c>
      <c r="Z62" s="770" t="e">
        <f t="shared" si="68"/>
        <v>#DIV/0!</v>
      </c>
      <c r="AA62" s="770" t="e">
        <f t="shared" si="68"/>
        <v>#DIV/0!</v>
      </c>
      <c r="AB62" s="770" t="e">
        <f t="shared" si="68"/>
        <v>#DIV/0!</v>
      </c>
      <c r="AC62" s="770" t="e">
        <f t="shared" si="68"/>
        <v>#DIV/0!</v>
      </c>
      <c r="AD62" s="770" t="e">
        <f t="shared" si="68"/>
        <v>#DIV/0!</v>
      </c>
      <c r="AE62" s="770" t="e">
        <f t="shared" si="68"/>
        <v>#DIV/0!</v>
      </c>
      <c r="AF62" s="770" t="e">
        <f t="shared" si="68"/>
        <v>#DIV/0!</v>
      </c>
      <c r="AG62" s="770" t="e">
        <f t="shared" si="68"/>
        <v>#DIV/0!</v>
      </c>
      <c r="AH62" s="770" t="e">
        <f t="shared" si="68"/>
        <v>#DIV/0!</v>
      </c>
      <c r="AI62" s="770" t="e">
        <f t="shared" si="68"/>
        <v>#DIV/0!</v>
      </c>
      <c r="AJ62" s="770" t="e">
        <f t="shared" si="68"/>
        <v>#DIV/0!</v>
      </c>
      <c r="AK62" s="770" t="e">
        <f t="shared" si="68"/>
        <v>#DIV/0!</v>
      </c>
      <c r="AL62" s="770" t="e">
        <f t="shared" si="68"/>
        <v>#DIV/0!</v>
      </c>
      <c r="AM62" s="770" t="e">
        <f t="shared" si="68"/>
        <v>#DIV/0!</v>
      </c>
      <c r="AN62" s="770" t="e">
        <f t="shared" si="68"/>
        <v>#DIV/0!</v>
      </c>
      <c r="AO62" s="770" t="e">
        <f t="shared" si="68"/>
        <v>#DIV/0!</v>
      </c>
      <c r="AP62" s="770" t="e">
        <f t="shared" si="68"/>
        <v>#DIV/0!</v>
      </c>
      <c r="AQ62" s="770" t="e">
        <f t="shared" si="68"/>
        <v>#DIV/0!</v>
      </c>
      <c r="AS62" s="771" t="s">
        <v>215</v>
      </c>
      <c r="AT62" s="772"/>
      <c r="AU62" s="772"/>
      <c r="AV62" s="772"/>
      <c r="AW62" s="772"/>
      <c r="AX62" s="772"/>
      <c r="AY62" s="772"/>
      <c r="AZ62" s="773" t="b">
        <v>1</v>
      </c>
    </row>
    <row r="63" spans="1:54" s="74" customFormat="1" ht="12">
      <c r="A63" s="768" t="s">
        <v>43</v>
      </c>
      <c r="B63" s="766"/>
      <c r="C63" s="769"/>
      <c r="D63" s="770"/>
      <c r="E63" s="770"/>
      <c r="F63" s="770"/>
      <c r="G63" s="770"/>
      <c r="H63" s="770"/>
      <c r="I63" s="770"/>
      <c r="J63" s="770"/>
      <c r="K63" s="770"/>
      <c r="L63" s="770"/>
      <c r="M63" s="770"/>
      <c r="N63" s="770"/>
      <c r="O63" s="770"/>
      <c r="P63" s="770"/>
      <c r="Q63" s="770"/>
      <c r="R63" s="770"/>
      <c r="AZ63" s="704"/>
    </row>
    <row r="64" spans="1:54" s="74" customFormat="1" ht="12">
      <c r="A64" s="768" t="s">
        <v>1005</v>
      </c>
      <c r="B64" s="766"/>
      <c r="C64" s="769"/>
      <c r="D64" s="767">
        <f>IF(D58-D62&lt;=$D$77,D58-D62,$D$77)</f>
        <v>0</v>
      </c>
      <c r="E64" s="767">
        <f t="shared" ref="E64:R64" si="69">IF(D75+E58-E62&lt;=$D$77,E58-E62,$D$77-D75)</f>
        <v>0</v>
      </c>
      <c r="F64" s="767">
        <f t="shared" si="69"/>
        <v>0</v>
      </c>
      <c r="G64" s="767">
        <f t="shared" si="69"/>
        <v>0</v>
      </c>
      <c r="H64" s="767">
        <f t="shared" si="69"/>
        <v>0</v>
      </c>
      <c r="I64" s="767">
        <f t="shared" si="69"/>
        <v>0</v>
      </c>
      <c r="J64" s="767">
        <f t="shared" si="69"/>
        <v>0</v>
      </c>
      <c r="K64" s="767">
        <f t="shared" si="69"/>
        <v>0</v>
      </c>
      <c r="L64" s="767">
        <f t="shared" si="69"/>
        <v>0</v>
      </c>
      <c r="M64" s="767">
        <f t="shared" si="69"/>
        <v>0</v>
      </c>
      <c r="N64" s="767">
        <f t="shared" si="69"/>
        <v>0</v>
      </c>
      <c r="O64" s="767">
        <f t="shared" si="69"/>
        <v>0</v>
      </c>
      <c r="P64" s="767">
        <f t="shared" si="69"/>
        <v>0</v>
      </c>
      <c r="Q64" s="767">
        <f t="shared" si="69"/>
        <v>0</v>
      </c>
      <c r="R64" s="767">
        <f t="shared" si="69"/>
        <v>0</v>
      </c>
      <c r="S64" s="774">
        <v>0</v>
      </c>
      <c r="T64" s="774">
        <v>0</v>
      </c>
      <c r="U64" s="774">
        <v>0</v>
      </c>
      <c r="V64" s="774">
        <v>0</v>
      </c>
      <c r="W64" s="774">
        <v>0</v>
      </c>
      <c r="X64" s="774">
        <v>0</v>
      </c>
      <c r="Y64" s="774">
        <v>0</v>
      </c>
      <c r="Z64" s="774">
        <v>0</v>
      </c>
      <c r="AA64" s="774">
        <v>0</v>
      </c>
      <c r="AB64" s="774">
        <v>0</v>
      </c>
      <c r="AC64" s="774">
        <v>0</v>
      </c>
      <c r="AD64" s="774">
        <v>0</v>
      </c>
      <c r="AE64" s="774">
        <v>0</v>
      </c>
      <c r="AF64" s="774">
        <v>0</v>
      </c>
      <c r="AG64" s="774">
        <v>0</v>
      </c>
      <c r="AH64" s="774">
        <v>0</v>
      </c>
      <c r="AI64" s="774">
        <v>0</v>
      </c>
      <c r="AJ64" s="774">
        <v>0</v>
      </c>
      <c r="AK64" s="774">
        <v>0</v>
      </c>
      <c r="AL64" s="774">
        <v>0</v>
      </c>
      <c r="AM64" s="774">
        <v>0</v>
      </c>
      <c r="AN64" s="774">
        <v>0</v>
      </c>
      <c r="AO64" s="774">
        <v>0</v>
      </c>
      <c r="AP64" s="774">
        <v>0</v>
      </c>
      <c r="AQ64" s="774">
        <v>0</v>
      </c>
    </row>
    <row r="65" spans="1:54" s="74" customFormat="1" ht="12">
      <c r="A65" s="768" t="s">
        <v>213</v>
      </c>
      <c r="B65" s="769"/>
      <c r="C65" s="769"/>
      <c r="D65" s="775"/>
      <c r="E65" s="776"/>
      <c r="F65" s="777"/>
      <c r="G65" s="767"/>
      <c r="H65" s="767"/>
      <c r="I65" s="767"/>
      <c r="J65" s="767"/>
      <c r="K65" s="767"/>
      <c r="L65" s="767"/>
      <c r="M65" s="767"/>
      <c r="N65" s="767"/>
      <c r="O65" s="767"/>
      <c r="P65" s="767"/>
      <c r="Q65" s="767"/>
      <c r="R65" s="767"/>
      <c r="U65" s="90"/>
      <c r="W65" s="90"/>
      <c r="Y65" s="778"/>
    </row>
    <row r="66" spans="1:54" s="74" customFormat="1" ht="12">
      <c r="A66" s="768" t="s">
        <v>396</v>
      </c>
      <c r="B66" s="766"/>
      <c r="C66" s="769"/>
      <c r="D66" s="779">
        <f t="shared" ref="D66:AQ66" si="70">+D58-D62-D64</f>
        <v>0</v>
      </c>
      <c r="E66" s="779">
        <f t="shared" si="70"/>
        <v>0</v>
      </c>
      <c r="F66" s="779">
        <f t="shared" si="70"/>
        <v>0</v>
      </c>
      <c r="G66" s="779">
        <f t="shared" si="70"/>
        <v>0</v>
      </c>
      <c r="H66" s="779">
        <f t="shared" si="70"/>
        <v>0</v>
      </c>
      <c r="I66" s="779">
        <f t="shared" si="70"/>
        <v>0</v>
      </c>
      <c r="J66" s="779">
        <f t="shared" si="70"/>
        <v>0</v>
      </c>
      <c r="K66" s="779">
        <f t="shared" si="70"/>
        <v>0</v>
      </c>
      <c r="L66" s="779">
        <f t="shared" si="70"/>
        <v>0</v>
      </c>
      <c r="M66" s="779">
        <f t="shared" si="70"/>
        <v>0</v>
      </c>
      <c r="N66" s="779">
        <f t="shared" si="70"/>
        <v>0</v>
      </c>
      <c r="O66" s="779">
        <f t="shared" si="70"/>
        <v>0</v>
      </c>
      <c r="P66" s="779">
        <f t="shared" si="70"/>
        <v>0</v>
      </c>
      <c r="Q66" s="779">
        <f t="shared" si="70"/>
        <v>0</v>
      </c>
      <c r="R66" s="779">
        <f t="shared" si="70"/>
        <v>0</v>
      </c>
      <c r="S66" s="779">
        <f t="shared" si="70"/>
        <v>0</v>
      </c>
      <c r="T66" s="779">
        <f t="shared" si="70"/>
        <v>0</v>
      </c>
      <c r="U66" s="779">
        <f t="shared" si="70"/>
        <v>0</v>
      </c>
      <c r="V66" s="779">
        <f t="shared" si="70"/>
        <v>0</v>
      </c>
      <c r="W66" s="779">
        <f t="shared" si="70"/>
        <v>0</v>
      </c>
      <c r="X66" s="779" t="e">
        <f t="shared" si="70"/>
        <v>#DIV/0!</v>
      </c>
      <c r="Y66" s="779" t="e">
        <f t="shared" si="70"/>
        <v>#DIV/0!</v>
      </c>
      <c r="Z66" s="779" t="e">
        <f t="shared" si="70"/>
        <v>#DIV/0!</v>
      </c>
      <c r="AA66" s="779" t="e">
        <f t="shared" si="70"/>
        <v>#DIV/0!</v>
      </c>
      <c r="AB66" s="779" t="e">
        <f t="shared" si="70"/>
        <v>#DIV/0!</v>
      </c>
      <c r="AC66" s="779" t="e">
        <f t="shared" si="70"/>
        <v>#DIV/0!</v>
      </c>
      <c r="AD66" s="779" t="e">
        <f t="shared" si="70"/>
        <v>#DIV/0!</v>
      </c>
      <c r="AE66" s="779" t="e">
        <f t="shared" si="70"/>
        <v>#DIV/0!</v>
      </c>
      <c r="AF66" s="779" t="e">
        <f t="shared" si="70"/>
        <v>#DIV/0!</v>
      </c>
      <c r="AG66" s="779" t="e">
        <f t="shared" si="70"/>
        <v>#DIV/0!</v>
      </c>
      <c r="AH66" s="779" t="e">
        <f t="shared" si="70"/>
        <v>#DIV/0!</v>
      </c>
      <c r="AI66" s="779" t="e">
        <f t="shared" si="70"/>
        <v>#DIV/0!</v>
      </c>
      <c r="AJ66" s="779" t="e">
        <f t="shared" si="70"/>
        <v>#DIV/0!</v>
      </c>
      <c r="AK66" s="779" t="e">
        <f t="shared" si="70"/>
        <v>#DIV/0!</v>
      </c>
      <c r="AL66" s="779" t="e">
        <f t="shared" si="70"/>
        <v>#DIV/0!</v>
      </c>
      <c r="AM66" s="779" t="e">
        <f t="shared" si="70"/>
        <v>#DIV/0!</v>
      </c>
      <c r="AN66" s="779" t="e">
        <f t="shared" si="70"/>
        <v>#DIV/0!</v>
      </c>
      <c r="AO66" s="779" t="e">
        <f t="shared" si="70"/>
        <v>#DIV/0!</v>
      </c>
      <c r="AP66" s="779" t="e">
        <f t="shared" si="70"/>
        <v>#DIV/0!</v>
      </c>
      <c r="AQ66" s="779" t="e">
        <f t="shared" si="70"/>
        <v>#DIV/0!</v>
      </c>
    </row>
    <row r="67" spans="1:54" s="74" customFormat="1" ht="12">
      <c r="A67" s="768" t="s">
        <v>41</v>
      </c>
      <c r="B67" s="769"/>
      <c r="C67" s="780">
        <v>0.5</v>
      </c>
      <c r="D67" s="781">
        <f t="shared" ref="D67:R67" si="71">+$C67*D66</f>
        <v>0</v>
      </c>
      <c r="E67" s="781">
        <f t="shared" si="71"/>
        <v>0</v>
      </c>
      <c r="F67" s="781">
        <f t="shared" si="71"/>
        <v>0</v>
      </c>
      <c r="G67" s="781">
        <f t="shared" si="71"/>
        <v>0</v>
      </c>
      <c r="H67" s="781">
        <f t="shared" si="71"/>
        <v>0</v>
      </c>
      <c r="I67" s="781">
        <f t="shared" si="71"/>
        <v>0</v>
      </c>
      <c r="J67" s="781">
        <f t="shared" si="71"/>
        <v>0</v>
      </c>
      <c r="K67" s="781">
        <f t="shared" si="71"/>
        <v>0</v>
      </c>
      <c r="L67" s="781">
        <f t="shared" si="71"/>
        <v>0</v>
      </c>
      <c r="M67" s="781">
        <f t="shared" si="71"/>
        <v>0</v>
      </c>
      <c r="N67" s="781">
        <f t="shared" si="71"/>
        <v>0</v>
      </c>
      <c r="O67" s="781">
        <f t="shared" si="71"/>
        <v>0</v>
      </c>
      <c r="P67" s="781">
        <f t="shared" si="71"/>
        <v>0</v>
      </c>
      <c r="Q67" s="781">
        <f t="shared" si="71"/>
        <v>0</v>
      </c>
      <c r="R67" s="781">
        <f t="shared" si="71"/>
        <v>0</v>
      </c>
      <c r="S67" s="781">
        <f t="shared" ref="S67:AQ67" si="72">+$C67*S66</f>
        <v>0</v>
      </c>
      <c r="T67" s="781">
        <f t="shared" si="72"/>
        <v>0</v>
      </c>
      <c r="U67" s="781">
        <f t="shared" si="72"/>
        <v>0</v>
      </c>
      <c r="V67" s="781">
        <f t="shared" si="72"/>
        <v>0</v>
      </c>
      <c r="W67" s="781">
        <f t="shared" si="72"/>
        <v>0</v>
      </c>
      <c r="X67" s="781" t="e">
        <f t="shared" si="72"/>
        <v>#DIV/0!</v>
      </c>
      <c r="Y67" s="781" t="e">
        <f t="shared" si="72"/>
        <v>#DIV/0!</v>
      </c>
      <c r="Z67" s="781" t="e">
        <f t="shared" si="72"/>
        <v>#DIV/0!</v>
      </c>
      <c r="AA67" s="781" t="e">
        <f t="shared" si="72"/>
        <v>#DIV/0!</v>
      </c>
      <c r="AB67" s="781" t="e">
        <f t="shared" si="72"/>
        <v>#DIV/0!</v>
      </c>
      <c r="AC67" s="781" t="e">
        <f t="shared" si="72"/>
        <v>#DIV/0!</v>
      </c>
      <c r="AD67" s="781" t="e">
        <f t="shared" si="72"/>
        <v>#DIV/0!</v>
      </c>
      <c r="AE67" s="781" t="e">
        <f t="shared" si="72"/>
        <v>#DIV/0!</v>
      </c>
      <c r="AF67" s="781" t="e">
        <f t="shared" si="72"/>
        <v>#DIV/0!</v>
      </c>
      <c r="AG67" s="781" t="e">
        <f t="shared" si="72"/>
        <v>#DIV/0!</v>
      </c>
      <c r="AH67" s="781" t="e">
        <f t="shared" si="72"/>
        <v>#DIV/0!</v>
      </c>
      <c r="AI67" s="781" t="e">
        <f t="shared" si="72"/>
        <v>#DIV/0!</v>
      </c>
      <c r="AJ67" s="781" t="e">
        <f t="shared" si="72"/>
        <v>#DIV/0!</v>
      </c>
      <c r="AK67" s="781" t="e">
        <f t="shared" si="72"/>
        <v>#DIV/0!</v>
      </c>
      <c r="AL67" s="781" t="e">
        <f t="shared" si="72"/>
        <v>#DIV/0!</v>
      </c>
      <c r="AM67" s="781" t="e">
        <f t="shared" si="72"/>
        <v>#DIV/0!</v>
      </c>
      <c r="AN67" s="781" t="e">
        <f t="shared" si="72"/>
        <v>#DIV/0!</v>
      </c>
      <c r="AO67" s="781" t="e">
        <f t="shared" si="72"/>
        <v>#DIV/0!</v>
      </c>
      <c r="AP67" s="781" t="e">
        <f t="shared" si="72"/>
        <v>#DIV/0!</v>
      </c>
      <c r="AQ67" s="781" t="e">
        <f t="shared" si="72"/>
        <v>#DIV/0!</v>
      </c>
    </row>
    <row r="68" spans="1:54" s="74" customFormat="1" ht="12">
      <c r="A68" s="768" t="s">
        <v>42</v>
      </c>
      <c r="B68" s="769"/>
      <c r="C68" s="780">
        <v>0.5</v>
      </c>
      <c r="D68" s="782">
        <f>+$C68*D66</f>
        <v>0</v>
      </c>
      <c r="E68" s="782">
        <f t="shared" ref="E68:R68" si="73">+$C68*E66</f>
        <v>0</v>
      </c>
      <c r="F68" s="782">
        <f t="shared" si="73"/>
        <v>0</v>
      </c>
      <c r="G68" s="782">
        <f t="shared" si="73"/>
        <v>0</v>
      </c>
      <c r="H68" s="782">
        <f t="shared" si="73"/>
        <v>0</v>
      </c>
      <c r="I68" s="782">
        <f t="shared" si="73"/>
        <v>0</v>
      </c>
      <c r="J68" s="782">
        <f t="shared" si="73"/>
        <v>0</v>
      </c>
      <c r="K68" s="782">
        <f t="shared" si="73"/>
        <v>0</v>
      </c>
      <c r="L68" s="782">
        <f t="shared" si="73"/>
        <v>0</v>
      </c>
      <c r="M68" s="782">
        <f t="shared" si="73"/>
        <v>0</v>
      </c>
      <c r="N68" s="782">
        <f t="shared" si="73"/>
        <v>0</v>
      </c>
      <c r="O68" s="782">
        <f t="shared" si="73"/>
        <v>0</v>
      </c>
      <c r="P68" s="782">
        <f t="shared" si="73"/>
        <v>0</v>
      </c>
      <c r="Q68" s="782">
        <f t="shared" si="73"/>
        <v>0</v>
      </c>
      <c r="R68" s="782">
        <f t="shared" si="73"/>
        <v>0</v>
      </c>
      <c r="S68" s="782">
        <f t="shared" ref="S68:AQ68" si="74">+$C68*S66</f>
        <v>0</v>
      </c>
      <c r="T68" s="782">
        <f t="shared" si="74"/>
        <v>0</v>
      </c>
      <c r="U68" s="782">
        <f t="shared" si="74"/>
        <v>0</v>
      </c>
      <c r="V68" s="782">
        <f t="shared" si="74"/>
        <v>0</v>
      </c>
      <c r="W68" s="782">
        <f t="shared" si="74"/>
        <v>0</v>
      </c>
      <c r="X68" s="782" t="e">
        <f t="shared" si="74"/>
        <v>#DIV/0!</v>
      </c>
      <c r="Y68" s="782" t="e">
        <f t="shared" si="74"/>
        <v>#DIV/0!</v>
      </c>
      <c r="Z68" s="782" t="e">
        <f t="shared" si="74"/>
        <v>#DIV/0!</v>
      </c>
      <c r="AA68" s="782" t="e">
        <f t="shared" si="74"/>
        <v>#DIV/0!</v>
      </c>
      <c r="AB68" s="782" t="e">
        <f t="shared" si="74"/>
        <v>#DIV/0!</v>
      </c>
      <c r="AC68" s="782" t="e">
        <f t="shared" si="74"/>
        <v>#DIV/0!</v>
      </c>
      <c r="AD68" s="782" t="e">
        <f t="shared" si="74"/>
        <v>#DIV/0!</v>
      </c>
      <c r="AE68" s="782" t="e">
        <f t="shared" si="74"/>
        <v>#DIV/0!</v>
      </c>
      <c r="AF68" s="782" t="e">
        <f t="shared" si="74"/>
        <v>#DIV/0!</v>
      </c>
      <c r="AG68" s="782" t="e">
        <f t="shared" si="74"/>
        <v>#DIV/0!</v>
      </c>
      <c r="AH68" s="782" t="e">
        <f t="shared" si="74"/>
        <v>#DIV/0!</v>
      </c>
      <c r="AI68" s="782" t="e">
        <f t="shared" si="74"/>
        <v>#DIV/0!</v>
      </c>
      <c r="AJ68" s="782" t="e">
        <f t="shared" si="74"/>
        <v>#DIV/0!</v>
      </c>
      <c r="AK68" s="782" t="e">
        <f t="shared" si="74"/>
        <v>#DIV/0!</v>
      </c>
      <c r="AL68" s="782" t="e">
        <f t="shared" si="74"/>
        <v>#DIV/0!</v>
      </c>
      <c r="AM68" s="782" t="e">
        <f t="shared" si="74"/>
        <v>#DIV/0!</v>
      </c>
      <c r="AN68" s="782" t="e">
        <f t="shared" si="74"/>
        <v>#DIV/0!</v>
      </c>
      <c r="AO68" s="782" t="e">
        <f t="shared" si="74"/>
        <v>#DIV/0!</v>
      </c>
      <c r="AP68" s="782" t="e">
        <f t="shared" si="74"/>
        <v>#DIV/0!</v>
      </c>
      <c r="AQ68" s="782" t="e">
        <f t="shared" si="74"/>
        <v>#DIV/0!</v>
      </c>
    </row>
    <row r="69" spans="1:54" s="74" customFormat="1" ht="12">
      <c r="A69" s="783" t="s">
        <v>211</v>
      </c>
      <c r="B69" s="769"/>
      <c r="C69" s="780">
        <v>0</v>
      </c>
      <c r="D69" s="782">
        <f t="shared" ref="D69:R69" si="75">+$C69*D66</f>
        <v>0</v>
      </c>
      <c r="E69" s="782">
        <f t="shared" si="75"/>
        <v>0</v>
      </c>
      <c r="F69" s="782">
        <f t="shared" si="75"/>
        <v>0</v>
      </c>
      <c r="G69" s="782">
        <f t="shared" si="75"/>
        <v>0</v>
      </c>
      <c r="H69" s="782">
        <f t="shared" si="75"/>
        <v>0</v>
      </c>
      <c r="I69" s="782">
        <f t="shared" si="75"/>
        <v>0</v>
      </c>
      <c r="J69" s="782">
        <f t="shared" si="75"/>
        <v>0</v>
      </c>
      <c r="K69" s="782">
        <f t="shared" si="75"/>
        <v>0</v>
      </c>
      <c r="L69" s="782">
        <f t="shared" si="75"/>
        <v>0</v>
      </c>
      <c r="M69" s="782">
        <f t="shared" si="75"/>
        <v>0</v>
      </c>
      <c r="N69" s="782">
        <f t="shared" si="75"/>
        <v>0</v>
      </c>
      <c r="O69" s="782">
        <f t="shared" si="75"/>
        <v>0</v>
      </c>
      <c r="P69" s="782">
        <f t="shared" si="75"/>
        <v>0</v>
      </c>
      <c r="Q69" s="782">
        <f t="shared" si="75"/>
        <v>0</v>
      </c>
      <c r="R69" s="782">
        <f t="shared" si="75"/>
        <v>0</v>
      </c>
      <c r="S69" s="782">
        <f t="shared" ref="S69:AQ69" si="76">+$C69*S66</f>
        <v>0</v>
      </c>
      <c r="T69" s="782">
        <f t="shared" si="76"/>
        <v>0</v>
      </c>
      <c r="U69" s="782">
        <f t="shared" si="76"/>
        <v>0</v>
      </c>
      <c r="V69" s="782">
        <f t="shared" si="76"/>
        <v>0</v>
      </c>
      <c r="W69" s="782">
        <f t="shared" si="76"/>
        <v>0</v>
      </c>
      <c r="X69" s="782" t="e">
        <f t="shared" si="76"/>
        <v>#DIV/0!</v>
      </c>
      <c r="Y69" s="782" t="e">
        <f t="shared" si="76"/>
        <v>#DIV/0!</v>
      </c>
      <c r="Z69" s="782" t="e">
        <f t="shared" si="76"/>
        <v>#DIV/0!</v>
      </c>
      <c r="AA69" s="782" t="e">
        <f t="shared" si="76"/>
        <v>#DIV/0!</v>
      </c>
      <c r="AB69" s="782" t="e">
        <f t="shared" si="76"/>
        <v>#DIV/0!</v>
      </c>
      <c r="AC69" s="782" t="e">
        <f t="shared" si="76"/>
        <v>#DIV/0!</v>
      </c>
      <c r="AD69" s="782" t="e">
        <f t="shared" si="76"/>
        <v>#DIV/0!</v>
      </c>
      <c r="AE69" s="782" t="e">
        <f t="shared" si="76"/>
        <v>#DIV/0!</v>
      </c>
      <c r="AF69" s="782" t="e">
        <f t="shared" si="76"/>
        <v>#DIV/0!</v>
      </c>
      <c r="AG69" s="782" t="e">
        <f t="shared" si="76"/>
        <v>#DIV/0!</v>
      </c>
      <c r="AH69" s="782" t="e">
        <f t="shared" si="76"/>
        <v>#DIV/0!</v>
      </c>
      <c r="AI69" s="782" t="e">
        <f t="shared" si="76"/>
        <v>#DIV/0!</v>
      </c>
      <c r="AJ69" s="782" t="e">
        <f t="shared" si="76"/>
        <v>#DIV/0!</v>
      </c>
      <c r="AK69" s="782" t="e">
        <f t="shared" si="76"/>
        <v>#DIV/0!</v>
      </c>
      <c r="AL69" s="782" t="e">
        <f t="shared" si="76"/>
        <v>#DIV/0!</v>
      </c>
      <c r="AM69" s="782" t="e">
        <f t="shared" si="76"/>
        <v>#DIV/0!</v>
      </c>
      <c r="AN69" s="782" t="e">
        <f t="shared" si="76"/>
        <v>#DIV/0!</v>
      </c>
      <c r="AO69" s="782" t="e">
        <f t="shared" si="76"/>
        <v>#DIV/0!</v>
      </c>
      <c r="AP69" s="782" t="e">
        <f t="shared" si="76"/>
        <v>#DIV/0!</v>
      </c>
      <c r="AQ69" s="782" t="e">
        <f t="shared" si="76"/>
        <v>#DIV/0!</v>
      </c>
    </row>
    <row r="70" spans="1:54" s="74" customFormat="1" ht="12">
      <c r="A70" s="783" t="s">
        <v>211</v>
      </c>
      <c r="B70" s="769"/>
      <c r="C70" s="780">
        <v>0</v>
      </c>
      <c r="D70" s="782">
        <f t="shared" ref="D70:R70" si="77">+$C70*D66</f>
        <v>0</v>
      </c>
      <c r="E70" s="782">
        <f t="shared" si="77"/>
        <v>0</v>
      </c>
      <c r="F70" s="782">
        <f t="shared" si="77"/>
        <v>0</v>
      </c>
      <c r="G70" s="782">
        <f t="shared" si="77"/>
        <v>0</v>
      </c>
      <c r="H70" s="782">
        <f t="shared" si="77"/>
        <v>0</v>
      </c>
      <c r="I70" s="782">
        <f t="shared" si="77"/>
        <v>0</v>
      </c>
      <c r="J70" s="782">
        <f t="shared" si="77"/>
        <v>0</v>
      </c>
      <c r="K70" s="782">
        <f t="shared" si="77"/>
        <v>0</v>
      </c>
      <c r="L70" s="782">
        <f t="shared" si="77"/>
        <v>0</v>
      </c>
      <c r="M70" s="782">
        <f t="shared" si="77"/>
        <v>0</v>
      </c>
      <c r="N70" s="782">
        <f t="shared" si="77"/>
        <v>0</v>
      </c>
      <c r="O70" s="782">
        <f t="shared" si="77"/>
        <v>0</v>
      </c>
      <c r="P70" s="782">
        <f t="shared" si="77"/>
        <v>0</v>
      </c>
      <c r="Q70" s="782">
        <f t="shared" si="77"/>
        <v>0</v>
      </c>
      <c r="R70" s="782">
        <f t="shared" si="77"/>
        <v>0</v>
      </c>
      <c r="S70" s="782">
        <f t="shared" ref="S70:AQ70" si="78">+$C70*S66</f>
        <v>0</v>
      </c>
      <c r="T70" s="782">
        <f t="shared" si="78"/>
        <v>0</v>
      </c>
      <c r="U70" s="782">
        <f t="shared" si="78"/>
        <v>0</v>
      </c>
      <c r="V70" s="782">
        <f t="shared" si="78"/>
        <v>0</v>
      </c>
      <c r="W70" s="782">
        <f t="shared" si="78"/>
        <v>0</v>
      </c>
      <c r="X70" s="782" t="e">
        <f t="shared" si="78"/>
        <v>#DIV/0!</v>
      </c>
      <c r="Y70" s="782" t="e">
        <f t="shared" si="78"/>
        <v>#DIV/0!</v>
      </c>
      <c r="Z70" s="782" t="e">
        <f t="shared" si="78"/>
        <v>#DIV/0!</v>
      </c>
      <c r="AA70" s="782" t="e">
        <f t="shared" si="78"/>
        <v>#DIV/0!</v>
      </c>
      <c r="AB70" s="782" t="e">
        <f t="shared" si="78"/>
        <v>#DIV/0!</v>
      </c>
      <c r="AC70" s="782" t="e">
        <f t="shared" si="78"/>
        <v>#DIV/0!</v>
      </c>
      <c r="AD70" s="782" t="e">
        <f t="shared" si="78"/>
        <v>#DIV/0!</v>
      </c>
      <c r="AE70" s="782" t="e">
        <f t="shared" si="78"/>
        <v>#DIV/0!</v>
      </c>
      <c r="AF70" s="782" t="e">
        <f t="shared" si="78"/>
        <v>#DIV/0!</v>
      </c>
      <c r="AG70" s="782" t="e">
        <f t="shared" si="78"/>
        <v>#DIV/0!</v>
      </c>
      <c r="AH70" s="782" t="e">
        <f t="shared" si="78"/>
        <v>#DIV/0!</v>
      </c>
      <c r="AI70" s="782" t="e">
        <f t="shared" si="78"/>
        <v>#DIV/0!</v>
      </c>
      <c r="AJ70" s="782" t="e">
        <f t="shared" si="78"/>
        <v>#DIV/0!</v>
      </c>
      <c r="AK70" s="782" t="e">
        <f t="shared" si="78"/>
        <v>#DIV/0!</v>
      </c>
      <c r="AL70" s="782" t="e">
        <f t="shared" si="78"/>
        <v>#DIV/0!</v>
      </c>
      <c r="AM70" s="782" t="e">
        <f t="shared" si="78"/>
        <v>#DIV/0!</v>
      </c>
      <c r="AN70" s="782" t="e">
        <f t="shared" si="78"/>
        <v>#DIV/0!</v>
      </c>
      <c r="AO70" s="782" t="e">
        <f t="shared" si="78"/>
        <v>#DIV/0!</v>
      </c>
      <c r="AP70" s="782" t="e">
        <f t="shared" si="78"/>
        <v>#DIV/0!</v>
      </c>
      <c r="AQ70" s="782" t="e">
        <f t="shared" si="78"/>
        <v>#DIV/0!</v>
      </c>
    </row>
    <row r="71" spans="1:54" s="74" customFormat="1" ht="12">
      <c r="A71" s="783" t="s">
        <v>211</v>
      </c>
      <c r="B71" s="769"/>
      <c r="C71" s="780">
        <v>0</v>
      </c>
      <c r="D71" s="782">
        <f>+$C71*D66</f>
        <v>0</v>
      </c>
      <c r="E71" s="782">
        <f t="shared" ref="E71:R71" si="79">+$C71*E66</f>
        <v>0</v>
      </c>
      <c r="F71" s="782">
        <f t="shared" si="79"/>
        <v>0</v>
      </c>
      <c r="G71" s="782">
        <f t="shared" si="79"/>
        <v>0</v>
      </c>
      <c r="H71" s="782">
        <f t="shared" si="79"/>
        <v>0</v>
      </c>
      <c r="I71" s="782">
        <f t="shared" si="79"/>
        <v>0</v>
      </c>
      <c r="J71" s="782">
        <f t="shared" si="79"/>
        <v>0</v>
      </c>
      <c r="K71" s="782">
        <f t="shared" si="79"/>
        <v>0</v>
      </c>
      <c r="L71" s="782">
        <f t="shared" si="79"/>
        <v>0</v>
      </c>
      <c r="M71" s="782">
        <f t="shared" si="79"/>
        <v>0</v>
      </c>
      <c r="N71" s="782">
        <f t="shared" si="79"/>
        <v>0</v>
      </c>
      <c r="O71" s="782">
        <f t="shared" si="79"/>
        <v>0</v>
      </c>
      <c r="P71" s="782">
        <f t="shared" si="79"/>
        <v>0</v>
      </c>
      <c r="Q71" s="782">
        <f t="shared" si="79"/>
        <v>0</v>
      </c>
      <c r="R71" s="782">
        <f t="shared" si="79"/>
        <v>0</v>
      </c>
      <c r="S71" s="782">
        <f t="shared" ref="S71:AQ71" si="80">+$C71*S66</f>
        <v>0</v>
      </c>
      <c r="T71" s="782">
        <f t="shared" si="80"/>
        <v>0</v>
      </c>
      <c r="U71" s="782">
        <f t="shared" si="80"/>
        <v>0</v>
      </c>
      <c r="V71" s="782">
        <f t="shared" si="80"/>
        <v>0</v>
      </c>
      <c r="W71" s="782">
        <f t="shared" si="80"/>
        <v>0</v>
      </c>
      <c r="X71" s="782" t="e">
        <f t="shared" si="80"/>
        <v>#DIV/0!</v>
      </c>
      <c r="Y71" s="782" t="e">
        <f t="shared" si="80"/>
        <v>#DIV/0!</v>
      </c>
      <c r="Z71" s="782" t="e">
        <f t="shared" si="80"/>
        <v>#DIV/0!</v>
      </c>
      <c r="AA71" s="782" t="e">
        <f t="shared" si="80"/>
        <v>#DIV/0!</v>
      </c>
      <c r="AB71" s="782" t="e">
        <f t="shared" si="80"/>
        <v>#DIV/0!</v>
      </c>
      <c r="AC71" s="782" t="e">
        <f t="shared" si="80"/>
        <v>#DIV/0!</v>
      </c>
      <c r="AD71" s="782" t="e">
        <f t="shared" si="80"/>
        <v>#DIV/0!</v>
      </c>
      <c r="AE71" s="782" t="e">
        <f t="shared" si="80"/>
        <v>#DIV/0!</v>
      </c>
      <c r="AF71" s="782" t="e">
        <f t="shared" si="80"/>
        <v>#DIV/0!</v>
      </c>
      <c r="AG71" s="782" t="e">
        <f t="shared" si="80"/>
        <v>#DIV/0!</v>
      </c>
      <c r="AH71" s="782" t="e">
        <f t="shared" si="80"/>
        <v>#DIV/0!</v>
      </c>
      <c r="AI71" s="782" t="e">
        <f t="shared" si="80"/>
        <v>#DIV/0!</v>
      </c>
      <c r="AJ71" s="782" t="e">
        <f t="shared" si="80"/>
        <v>#DIV/0!</v>
      </c>
      <c r="AK71" s="782" t="e">
        <f t="shared" si="80"/>
        <v>#DIV/0!</v>
      </c>
      <c r="AL71" s="782" t="e">
        <f t="shared" si="80"/>
        <v>#DIV/0!</v>
      </c>
      <c r="AM71" s="782" t="e">
        <f t="shared" si="80"/>
        <v>#DIV/0!</v>
      </c>
      <c r="AN71" s="782" t="e">
        <f t="shared" si="80"/>
        <v>#DIV/0!</v>
      </c>
      <c r="AO71" s="782" t="e">
        <f t="shared" si="80"/>
        <v>#DIV/0!</v>
      </c>
      <c r="AP71" s="782" t="e">
        <f t="shared" si="80"/>
        <v>#DIV/0!</v>
      </c>
      <c r="AQ71" s="782" t="e">
        <f t="shared" si="80"/>
        <v>#DIV/0!</v>
      </c>
    </row>
    <row r="72" spans="1:54" s="74" customFormat="1" ht="12">
      <c r="A72" s="783" t="s">
        <v>211</v>
      </c>
      <c r="B72" s="769"/>
      <c r="C72" s="780">
        <v>0</v>
      </c>
      <c r="D72" s="782">
        <f t="shared" ref="D72:R72" si="81">+$C72*D66</f>
        <v>0</v>
      </c>
      <c r="E72" s="782">
        <f t="shared" si="81"/>
        <v>0</v>
      </c>
      <c r="F72" s="782">
        <f t="shared" si="81"/>
        <v>0</v>
      </c>
      <c r="G72" s="782">
        <f t="shared" si="81"/>
        <v>0</v>
      </c>
      <c r="H72" s="782">
        <f t="shared" si="81"/>
        <v>0</v>
      </c>
      <c r="I72" s="782">
        <f t="shared" si="81"/>
        <v>0</v>
      </c>
      <c r="J72" s="782">
        <f t="shared" si="81"/>
        <v>0</v>
      </c>
      <c r="K72" s="782">
        <f t="shared" si="81"/>
        <v>0</v>
      </c>
      <c r="L72" s="782">
        <f t="shared" si="81"/>
        <v>0</v>
      </c>
      <c r="M72" s="782">
        <f t="shared" si="81"/>
        <v>0</v>
      </c>
      <c r="N72" s="782">
        <f t="shared" si="81"/>
        <v>0</v>
      </c>
      <c r="O72" s="782">
        <f t="shared" si="81"/>
        <v>0</v>
      </c>
      <c r="P72" s="782">
        <f t="shared" si="81"/>
        <v>0</v>
      </c>
      <c r="Q72" s="782">
        <f t="shared" si="81"/>
        <v>0</v>
      </c>
      <c r="R72" s="782">
        <f t="shared" si="81"/>
        <v>0</v>
      </c>
      <c r="S72" s="782">
        <f t="shared" ref="S72:AQ72" si="82">+$C72*S66</f>
        <v>0</v>
      </c>
      <c r="T72" s="782">
        <f t="shared" si="82"/>
        <v>0</v>
      </c>
      <c r="U72" s="782">
        <f t="shared" si="82"/>
        <v>0</v>
      </c>
      <c r="V72" s="782">
        <f t="shared" si="82"/>
        <v>0</v>
      </c>
      <c r="W72" s="782">
        <f t="shared" si="82"/>
        <v>0</v>
      </c>
      <c r="X72" s="782" t="e">
        <f t="shared" si="82"/>
        <v>#DIV/0!</v>
      </c>
      <c r="Y72" s="782" t="e">
        <f t="shared" si="82"/>
        <v>#DIV/0!</v>
      </c>
      <c r="Z72" s="782" t="e">
        <f t="shared" si="82"/>
        <v>#DIV/0!</v>
      </c>
      <c r="AA72" s="782" t="e">
        <f t="shared" si="82"/>
        <v>#DIV/0!</v>
      </c>
      <c r="AB72" s="782" t="e">
        <f t="shared" si="82"/>
        <v>#DIV/0!</v>
      </c>
      <c r="AC72" s="782" t="e">
        <f t="shared" si="82"/>
        <v>#DIV/0!</v>
      </c>
      <c r="AD72" s="782" t="e">
        <f t="shared" si="82"/>
        <v>#DIV/0!</v>
      </c>
      <c r="AE72" s="782" t="e">
        <f t="shared" si="82"/>
        <v>#DIV/0!</v>
      </c>
      <c r="AF72" s="782" t="e">
        <f t="shared" si="82"/>
        <v>#DIV/0!</v>
      </c>
      <c r="AG72" s="782" t="e">
        <f t="shared" si="82"/>
        <v>#DIV/0!</v>
      </c>
      <c r="AH72" s="782" t="e">
        <f t="shared" si="82"/>
        <v>#DIV/0!</v>
      </c>
      <c r="AI72" s="782" t="e">
        <f t="shared" si="82"/>
        <v>#DIV/0!</v>
      </c>
      <c r="AJ72" s="782" t="e">
        <f t="shared" si="82"/>
        <v>#DIV/0!</v>
      </c>
      <c r="AK72" s="782" t="e">
        <f t="shared" si="82"/>
        <v>#DIV/0!</v>
      </c>
      <c r="AL72" s="782" t="e">
        <f t="shared" si="82"/>
        <v>#DIV/0!</v>
      </c>
      <c r="AM72" s="782" t="e">
        <f t="shared" si="82"/>
        <v>#DIV/0!</v>
      </c>
      <c r="AN72" s="782" t="e">
        <f t="shared" si="82"/>
        <v>#DIV/0!</v>
      </c>
      <c r="AO72" s="782" t="e">
        <f t="shared" si="82"/>
        <v>#DIV/0!</v>
      </c>
      <c r="AP72" s="782" t="e">
        <f t="shared" si="82"/>
        <v>#DIV/0!</v>
      </c>
      <c r="AQ72" s="782" t="e">
        <f t="shared" si="82"/>
        <v>#DIV/0!</v>
      </c>
    </row>
    <row r="73" spans="1:54" s="74" customFormat="1" ht="12">
      <c r="A73" s="768"/>
      <c r="B73" s="769"/>
      <c r="C73" s="784"/>
      <c r="D73" s="785"/>
      <c r="E73" s="785"/>
      <c r="F73" s="785"/>
      <c r="G73" s="785"/>
      <c r="H73" s="785"/>
      <c r="I73" s="785"/>
      <c r="J73" s="785"/>
      <c r="K73" s="785"/>
      <c r="L73" s="785"/>
      <c r="M73" s="785"/>
      <c r="N73" s="785"/>
      <c r="O73" s="785"/>
      <c r="P73" s="785"/>
      <c r="Q73" s="785"/>
      <c r="R73" s="785"/>
      <c r="X73" s="786"/>
    </row>
    <row r="74" spans="1:54" s="74" customFormat="1" ht="12">
      <c r="A74" s="768" t="s">
        <v>997</v>
      </c>
      <c r="B74" s="769"/>
      <c r="C74" s="698">
        <v>3.5000000000000003E-2</v>
      </c>
      <c r="D74" s="787">
        <f>'Operating '!D130</f>
        <v>0</v>
      </c>
      <c r="E74" s="697">
        <f>(1+$C$74)*D74</f>
        <v>0</v>
      </c>
      <c r="F74" s="697">
        <f t="shared" ref="F74:AQ74" si="83">(1+$C$74)*E74</f>
        <v>0</v>
      </c>
      <c r="G74" s="697">
        <f t="shared" si="83"/>
        <v>0</v>
      </c>
      <c r="H74" s="697">
        <f t="shared" si="83"/>
        <v>0</v>
      </c>
      <c r="I74" s="697">
        <f t="shared" si="83"/>
        <v>0</v>
      </c>
      <c r="J74" s="697">
        <f t="shared" si="83"/>
        <v>0</v>
      </c>
      <c r="K74" s="697">
        <f t="shared" si="83"/>
        <v>0</v>
      </c>
      <c r="L74" s="697">
        <f t="shared" si="83"/>
        <v>0</v>
      </c>
      <c r="M74" s="697">
        <f t="shared" si="83"/>
        <v>0</v>
      </c>
      <c r="N74" s="697">
        <f t="shared" si="83"/>
        <v>0</v>
      </c>
      <c r="O74" s="697">
        <f t="shared" si="83"/>
        <v>0</v>
      </c>
      <c r="P74" s="697">
        <f t="shared" si="83"/>
        <v>0</v>
      </c>
      <c r="Q74" s="697">
        <f t="shared" si="83"/>
        <v>0</v>
      </c>
      <c r="R74" s="697">
        <f>(1+$C$74)*Q74</f>
        <v>0</v>
      </c>
      <c r="S74" s="697">
        <f t="shared" si="83"/>
        <v>0</v>
      </c>
      <c r="T74" s="697">
        <f t="shared" si="83"/>
        <v>0</v>
      </c>
      <c r="U74" s="697">
        <f t="shared" si="83"/>
        <v>0</v>
      </c>
      <c r="V74" s="697">
        <f t="shared" si="83"/>
        <v>0</v>
      </c>
      <c r="W74" s="697">
        <f t="shared" si="83"/>
        <v>0</v>
      </c>
      <c r="X74" s="697">
        <f t="shared" si="83"/>
        <v>0</v>
      </c>
      <c r="Y74" s="697">
        <f t="shared" si="83"/>
        <v>0</v>
      </c>
      <c r="Z74" s="697">
        <f t="shared" si="83"/>
        <v>0</v>
      </c>
      <c r="AA74" s="697">
        <f t="shared" si="83"/>
        <v>0</v>
      </c>
      <c r="AB74" s="697">
        <f t="shared" si="83"/>
        <v>0</v>
      </c>
      <c r="AC74" s="697">
        <f t="shared" si="83"/>
        <v>0</v>
      </c>
      <c r="AD74" s="697">
        <f t="shared" si="83"/>
        <v>0</v>
      </c>
      <c r="AE74" s="697">
        <f t="shared" si="83"/>
        <v>0</v>
      </c>
      <c r="AF74" s="697">
        <f t="shared" si="83"/>
        <v>0</v>
      </c>
      <c r="AG74" s="697">
        <f t="shared" si="83"/>
        <v>0</v>
      </c>
      <c r="AH74" s="697">
        <f t="shared" si="83"/>
        <v>0</v>
      </c>
      <c r="AI74" s="697">
        <f t="shared" si="83"/>
        <v>0</v>
      </c>
      <c r="AJ74" s="697">
        <f t="shared" si="83"/>
        <v>0</v>
      </c>
      <c r="AK74" s="697">
        <f t="shared" si="83"/>
        <v>0</v>
      </c>
      <c r="AL74" s="697">
        <f t="shared" si="83"/>
        <v>0</v>
      </c>
      <c r="AM74" s="697">
        <f t="shared" si="83"/>
        <v>0</v>
      </c>
      <c r="AN74" s="697">
        <f t="shared" si="83"/>
        <v>0</v>
      </c>
      <c r="AO74" s="697">
        <f t="shared" si="83"/>
        <v>0</v>
      </c>
      <c r="AP74" s="697">
        <f t="shared" si="83"/>
        <v>0</v>
      </c>
      <c r="AQ74" s="697">
        <f t="shared" si="83"/>
        <v>0</v>
      </c>
      <c r="AR74" s="697"/>
      <c r="AS74" s="697"/>
      <c r="AT74" s="697"/>
      <c r="AU74" s="697"/>
      <c r="AV74" s="697"/>
      <c r="AW74" s="697"/>
      <c r="AX74" s="697"/>
      <c r="AY74" s="697"/>
      <c r="AZ74" s="697"/>
      <c r="BA74" s="697"/>
      <c r="BB74" s="697"/>
    </row>
    <row r="75" spans="1:54" s="74" customFormat="1" ht="12">
      <c r="A75" s="768" t="s">
        <v>898</v>
      </c>
      <c r="B75" s="788"/>
      <c r="D75" s="779">
        <f>+D64</f>
        <v>0</v>
      </c>
      <c r="E75" s="779">
        <f t="shared" ref="E75:Q75" si="84">+D75+E64</f>
        <v>0</v>
      </c>
      <c r="F75" s="779">
        <f t="shared" si="84"/>
        <v>0</v>
      </c>
      <c r="G75" s="779">
        <f t="shared" si="84"/>
        <v>0</v>
      </c>
      <c r="H75" s="779">
        <f t="shared" si="84"/>
        <v>0</v>
      </c>
      <c r="I75" s="779">
        <f t="shared" si="84"/>
        <v>0</v>
      </c>
      <c r="J75" s="779">
        <f t="shared" si="84"/>
        <v>0</v>
      </c>
      <c r="K75" s="779">
        <f t="shared" si="84"/>
        <v>0</v>
      </c>
      <c r="L75" s="779">
        <f t="shared" si="84"/>
        <v>0</v>
      </c>
      <c r="M75" s="779">
        <f t="shared" si="84"/>
        <v>0</v>
      </c>
      <c r="N75" s="779">
        <f t="shared" si="84"/>
        <v>0</v>
      </c>
      <c r="O75" s="779">
        <f t="shared" si="84"/>
        <v>0</v>
      </c>
      <c r="P75" s="779">
        <f t="shared" si="84"/>
        <v>0</v>
      </c>
      <c r="Q75" s="779">
        <f t="shared" si="84"/>
        <v>0</v>
      </c>
      <c r="R75" s="779">
        <f>+Q75+R64</f>
        <v>0</v>
      </c>
      <c r="S75" s="779">
        <f t="shared" ref="S75:AQ75" si="85">+R75+S64</f>
        <v>0</v>
      </c>
      <c r="T75" s="779">
        <f t="shared" si="85"/>
        <v>0</v>
      </c>
      <c r="U75" s="779">
        <f t="shared" si="85"/>
        <v>0</v>
      </c>
      <c r="V75" s="779">
        <f t="shared" si="85"/>
        <v>0</v>
      </c>
      <c r="W75" s="779">
        <f t="shared" si="85"/>
        <v>0</v>
      </c>
      <c r="X75" s="779">
        <f t="shared" si="85"/>
        <v>0</v>
      </c>
      <c r="Y75" s="779">
        <f t="shared" si="85"/>
        <v>0</v>
      </c>
      <c r="Z75" s="779">
        <f t="shared" si="85"/>
        <v>0</v>
      </c>
      <c r="AA75" s="779">
        <f t="shared" si="85"/>
        <v>0</v>
      </c>
      <c r="AB75" s="779">
        <f t="shared" si="85"/>
        <v>0</v>
      </c>
      <c r="AC75" s="779">
        <f t="shared" si="85"/>
        <v>0</v>
      </c>
      <c r="AD75" s="779">
        <f t="shared" si="85"/>
        <v>0</v>
      </c>
      <c r="AE75" s="779">
        <f t="shared" si="85"/>
        <v>0</v>
      </c>
      <c r="AF75" s="779">
        <f t="shared" si="85"/>
        <v>0</v>
      </c>
      <c r="AG75" s="779">
        <f t="shared" si="85"/>
        <v>0</v>
      </c>
      <c r="AH75" s="779">
        <f t="shared" si="85"/>
        <v>0</v>
      </c>
      <c r="AI75" s="779">
        <f t="shared" si="85"/>
        <v>0</v>
      </c>
      <c r="AJ75" s="779">
        <f t="shared" si="85"/>
        <v>0</v>
      </c>
      <c r="AK75" s="779">
        <f t="shared" si="85"/>
        <v>0</v>
      </c>
      <c r="AL75" s="779">
        <f t="shared" si="85"/>
        <v>0</v>
      </c>
      <c r="AM75" s="779">
        <f t="shared" si="85"/>
        <v>0</v>
      </c>
      <c r="AN75" s="779">
        <f t="shared" si="85"/>
        <v>0</v>
      </c>
      <c r="AO75" s="779">
        <f t="shared" si="85"/>
        <v>0</v>
      </c>
      <c r="AP75" s="779">
        <f t="shared" si="85"/>
        <v>0</v>
      </c>
      <c r="AQ75" s="779">
        <f t="shared" si="85"/>
        <v>0</v>
      </c>
    </row>
    <row r="76" spans="1:54" s="74" customFormat="1" ht="12">
      <c r="A76" s="768" t="s">
        <v>824</v>
      </c>
      <c r="B76" s="788"/>
      <c r="D76" s="779"/>
      <c r="E76" s="779"/>
      <c r="F76" s="779"/>
      <c r="G76" s="779"/>
      <c r="H76" s="779"/>
      <c r="I76" s="779"/>
      <c r="J76" s="779"/>
      <c r="K76" s="779"/>
      <c r="L76" s="779"/>
      <c r="M76" s="779"/>
      <c r="N76" s="779"/>
      <c r="O76" s="779"/>
      <c r="P76" s="779"/>
      <c r="Q76" s="779"/>
      <c r="R76" s="779"/>
      <c r="W76" s="700"/>
    </row>
    <row r="77" spans="1:54" s="74" customFormat="1" ht="12">
      <c r="A77" s="768" t="s">
        <v>397</v>
      </c>
      <c r="B77" s="788"/>
      <c r="D77" s="1219">
        <f>'Dev Budget'!E115</f>
        <v>0</v>
      </c>
      <c r="U77" s="77"/>
    </row>
    <row r="78" spans="1:54">
      <c r="C78" s="375"/>
      <c r="D78" s="375"/>
      <c r="E78" s="375"/>
      <c r="F78" s="375"/>
      <c r="G78" s="375"/>
      <c r="H78" s="375"/>
      <c r="I78" s="375"/>
      <c r="J78" s="375"/>
      <c r="K78" s="375"/>
      <c r="L78" s="375"/>
      <c r="M78" s="375"/>
      <c r="N78" s="375"/>
      <c r="O78" s="375"/>
      <c r="P78" s="375"/>
      <c r="Q78" s="375"/>
      <c r="R78" s="375"/>
      <c r="U78" s="506"/>
      <c r="V78" s="375"/>
      <c r="W78" s="375"/>
      <c r="X78" s="375"/>
      <c r="Y78" s="375"/>
      <c r="Z78" s="375"/>
      <c r="AA78" s="375"/>
      <c r="AB78" s="375"/>
      <c r="AC78" s="375"/>
      <c r="AD78" s="375"/>
      <c r="AE78" s="375"/>
      <c r="AF78" s="375"/>
      <c r="AG78" s="375"/>
      <c r="AH78" s="375"/>
      <c r="AI78" s="375"/>
      <c r="AJ78" s="375"/>
      <c r="AK78" s="375"/>
    </row>
    <row r="79" spans="1:54">
      <c r="A79" s="375"/>
      <c r="B79" s="375"/>
      <c r="C79" s="375"/>
      <c r="D79" s="375"/>
      <c r="E79" s="375"/>
      <c r="F79" s="375"/>
      <c r="G79" s="375"/>
      <c r="H79" s="375"/>
      <c r="I79" s="375"/>
      <c r="J79" s="375"/>
      <c r="K79" s="375"/>
      <c r="L79" s="375"/>
      <c r="M79" s="375"/>
      <c r="N79" s="375"/>
      <c r="O79" s="375"/>
      <c r="P79" s="375"/>
      <c r="R79" s="375"/>
      <c r="U79" s="375"/>
      <c r="V79" s="375"/>
      <c r="W79" s="375"/>
      <c r="X79" s="375"/>
      <c r="Y79" s="375"/>
      <c r="Z79" s="375"/>
      <c r="AA79" s="375"/>
      <c r="AB79" s="375"/>
      <c r="AC79" s="375"/>
      <c r="AD79" s="375"/>
      <c r="AE79" s="375"/>
      <c r="AF79" s="375"/>
      <c r="AG79" s="375"/>
      <c r="AH79" s="375"/>
      <c r="AI79" s="375"/>
      <c r="AJ79" s="375"/>
      <c r="AK79" s="375"/>
    </row>
    <row r="80" spans="1:54">
      <c r="A80" s="375"/>
      <c r="B80" s="375"/>
      <c r="C80" s="375"/>
      <c r="D80" s="375"/>
      <c r="E80" s="375"/>
      <c r="F80" s="375"/>
      <c r="G80" s="375"/>
      <c r="H80" s="375"/>
      <c r="I80" s="375"/>
      <c r="J80" s="375"/>
      <c r="K80" s="375"/>
      <c r="L80" s="375"/>
      <c r="M80" s="375"/>
      <c r="N80" s="375"/>
      <c r="O80" s="375"/>
      <c r="P80" s="375"/>
      <c r="Q80" s="16"/>
      <c r="R80" s="375"/>
      <c r="U80" s="375"/>
      <c r="V80" s="375"/>
      <c r="W80" s="375"/>
      <c r="X80" s="375"/>
      <c r="Y80" s="375"/>
      <c r="Z80" s="375"/>
      <c r="AA80" s="375"/>
      <c r="AB80" s="375"/>
      <c r="AC80" s="375"/>
      <c r="AD80" s="375"/>
      <c r="AE80" s="375"/>
      <c r="AF80" s="375"/>
      <c r="AG80" s="375"/>
      <c r="AH80" s="375"/>
      <c r="AI80" s="375"/>
      <c r="AJ80" s="16"/>
      <c r="AK80" s="375"/>
    </row>
    <row r="81" spans="1:37">
      <c r="A81" s="375"/>
      <c r="B81" s="375"/>
      <c r="C81" s="375"/>
      <c r="D81" s="375"/>
      <c r="E81" s="375"/>
      <c r="F81" s="375"/>
      <c r="G81" s="375"/>
      <c r="H81" s="375"/>
      <c r="I81" s="375"/>
      <c r="J81" s="375"/>
      <c r="K81" s="375"/>
      <c r="L81" s="375"/>
      <c r="M81" s="375"/>
      <c r="N81" s="375"/>
      <c r="O81" s="375"/>
      <c r="P81" s="375"/>
      <c r="Q81" s="375"/>
      <c r="R81" s="375"/>
      <c r="U81" s="375"/>
      <c r="V81" s="375"/>
      <c r="W81" s="375"/>
      <c r="X81" s="375"/>
      <c r="Y81" s="375"/>
      <c r="Z81" s="375"/>
      <c r="AA81" s="375"/>
      <c r="AB81" s="375"/>
      <c r="AC81" s="375"/>
      <c r="AD81" s="375"/>
      <c r="AE81" s="375"/>
      <c r="AF81" s="375"/>
      <c r="AG81" s="375"/>
      <c r="AH81" s="375"/>
      <c r="AI81" s="375"/>
      <c r="AJ81" s="375"/>
      <c r="AK81" s="375"/>
    </row>
    <row r="82" spans="1:37">
      <c r="A82" s="375"/>
      <c r="B82" s="375"/>
      <c r="C82" s="375"/>
      <c r="D82" s="375"/>
      <c r="E82" s="375"/>
      <c r="F82" s="375"/>
      <c r="G82" s="375"/>
      <c r="H82" s="375"/>
      <c r="I82" s="375"/>
      <c r="J82" s="375"/>
      <c r="K82" s="375"/>
      <c r="L82" s="375"/>
      <c r="M82" s="375"/>
      <c r="N82" s="375"/>
      <c r="O82" s="375"/>
      <c r="P82" s="375"/>
      <c r="Q82" s="375"/>
      <c r="R82" s="375"/>
      <c r="U82" s="375"/>
      <c r="V82" s="375"/>
      <c r="W82" s="375"/>
      <c r="X82" s="375"/>
      <c r="Y82" s="375"/>
      <c r="Z82" s="375"/>
      <c r="AA82" s="375"/>
      <c r="AB82" s="375"/>
      <c r="AC82" s="375"/>
      <c r="AD82" s="375"/>
      <c r="AE82" s="375"/>
      <c r="AF82" s="375"/>
      <c r="AG82" s="375"/>
      <c r="AH82" s="375"/>
      <c r="AI82" s="375"/>
      <c r="AJ82" s="375"/>
      <c r="AK82" s="375"/>
    </row>
    <row r="83" spans="1:37" ht="13.5" customHeight="1">
      <c r="A83" s="375"/>
      <c r="B83" s="375"/>
      <c r="C83" s="375"/>
      <c r="D83" s="375"/>
      <c r="E83" s="375"/>
      <c r="F83" s="375"/>
      <c r="G83" s="375"/>
      <c r="H83" s="375"/>
      <c r="I83" s="375"/>
      <c r="J83" s="375"/>
      <c r="K83" s="375"/>
      <c r="L83" s="375"/>
      <c r="M83" s="375"/>
      <c r="N83" s="375"/>
      <c r="O83" s="375"/>
      <c r="P83" s="375"/>
      <c r="Q83" s="375"/>
      <c r="R83" s="375"/>
      <c r="U83" s="375"/>
      <c r="V83" s="375"/>
      <c r="W83" s="375"/>
      <c r="X83" s="375"/>
      <c r="Y83" s="375"/>
      <c r="Z83" s="375"/>
      <c r="AA83" s="375"/>
      <c r="AB83" s="375"/>
      <c r="AC83" s="375"/>
      <c r="AD83" s="375"/>
      <c r="AE83" s="375"/>
      <c r="AF83" s="375"/>
      <c r="AG83" s="375"/>
      <c r="AH83" s="375"/>
      <c r="AI83" s="375"/>
      <c r="AJ83" s="375"/>
      <c r="AK83" s="375"/>
    </row>
    <row r="84" spans="1:37">
      <c r="A84" s="506"/>
      <c r="B84" s="506"/>
      <c r="C84" s="375"/>
      <c r="D84" s="375"/>
      <c r="E84" s="375"/>
      <c r="F84" s="375"/>
      <c r="G84" s="375"/>
      <c r="H84" s="375"/>
      <c r="I84" s="375"/>
      <c r="J84" s="375"/>
      <c r="K84" s="375"/>
      <c r="L84" s="375"/>
      <c r="M84" s="375"/>
      <c r="N84" s="375"/>
      <c r="O84" s="375"/>
      <c r="P84" s="375"/>
      <c r="Q84" s="375"/>
      <c r="R84" s="375"/>
      <c r="U84" s="506"/>
      <c r="V84" s="375"/>
      <c r="W84" s="375"/>
      <c r="X84" s="375"/>
      <c r="Y84" s="375"/>
      <c r="Z84" s="375"/>
      <c r="AA84" s="375"/>
      <c r="AB84" s="375"/>
      <c r="AC84" s="375"/>
      <c r="AD84" s="375"/>
      <c r="AE84" s="375"/>
      <c r="AF84" s="375"/>
      <c r="AG84" s="375"/>
      <c r="AH84" s="375"/>
      <c r="AI84" s="375"/>
      <c r="AJ84" s="375"/>
      <c r="AK84" s="375"/>
    </row>
    <row r="85" spans="1:37">
      <c r="A85" s="375"/>
      <c r="B85" s="375"/>
      <c r="C85" s="375"/>
      <c r="D85" s="375"/>
      <c r="E85" s="375"/>
      <c r="F85" s="375"/>
      <c r="G85" s="375"/>
      <c r="H85" s="375"/>
      <c r="I85" s="375"/>
      <c r="J85" s="375"/>
      <c r="K85" s="375"/>
      <c r="L85" s="375"/>
      <c r="M85" s="375"/>
      <c r="N85" s="375"/>
      <c r="O85" s="375"/>
      <c r="P85" s="375"/>
      <c r="Q85" s="375"/>
      <c r="R85" s="375"/>
      <c r="U85" s="375"/>
      <c r="V85" s="375"/>
      <c r="W85" s="375"/>
      <c r="X85" s="375"/>
      <c r="Y85" s="375"/>
      <c r="Z85" s="375"/>
      <c r="AA85" s="375"/>
      <c r="AB85" s="375"/>
      <c r="AC85" s="375"/>
      <c r="AD85" s="375"/>
      <c r="AE85" s="375"/>
      <c r="AF85" s="375"/>
      <c r="AG85" s="375"/>
      <c r="AH85" s="375"/>
      <c r="AI85" s="375"/>
      <c r="AJ85" s="375"/>
      <c r="AK85" s="375"/>
    </row>
    <row r="86" spans="1:37">
      <c r="A86" s="375"/>
      <c r="B86" s="375"/>
      <c r="C86" s="375"/>
      <c r="D86" s="375"/>
      <c r="E86" s="375"/>
      <c r="F86" s="375"/>
      <c r="G86" s="375"/>
      <c r="H86" s="375"/>
      <c r="I86" s="375"/>
      <c r="J86" s="375"/>
      <c r="K86" s="375"/>
      <c r="L86" s="375"/>
      <c r="M86" s="375"/>
      <c r="N86" s="375"/>
      <c r="O86" s="375"/>
      <c r="P86" s="375"/>
      <c r="Q86" s="16"/>
      <c r="R86" s="375"/>
      <c r="U86" s="375"/>
      <c r="V86" s="375"/>
      <c r="W86" s="375"/>
      <c r="X86" s="375"/>
      <c r="Y86" s="375"/>
      <c r="Z86" s="375"/>
      <c r="AA86" s="375"/>
      <c r="AB86" s="375"/>
      <c r="AC86" s="375"/>
      <c r="AD86" s="375"/>
      <c r="AE86" s="375"/>
      <c r="AF86" s="375"/>
      <c r="AG86" s="375"/>
      <c r="AH86" s="375"/>
      <c r="AI86" s="375"/>
      <c r="AJ86" s="16"/>
      <c r="AK86" s="375"/>
    </row>
    <row r="87" spans="1:37">
      <c r="A87" s="375"/>
      <c r="B87" s="375"/>
      <c r="C87" s="375"/>
      <c r="D87" s="375"/>
      <c r="E87" s="375"/>
      <c r="F87" s="375"/>
      <c r="G87" s="375"/>
      <c r="H87" s="375"/>
      <c r="I87" s="375"/>
      <c r="J87" s="375"/>
      <c r="K87" s="375"/>
      <c r="L87" s="375"/>
      <c r="M87" s="375"/>
      <c r="N87" s="375"/>
      <c r="O87" s="375"/>
      <c r="P87" s="375"/>
      <c r="Q87" s="375"/>
      <c r="R87" s="375"/>
      <c r="U87" s="375"/>
      <c r="V87" s="375"/>
      <c r="W87" s="375"/>
      <c r="X87" s="375"/>
      <c r="Y87" s="375"/>
      <c r="Z87" s="375"/>
      <c r="AA87" s="375"/>
      <c r="AB87" s="375"/>
      <c r="AC87" s="375"/>
      <c r="AD87" s="375"/>
      <c r="AE87" s="375"/>
      <c r="AF87" s="375"/>
      <c r="AG87" s="375"/>
      <c r="AH87" s="375"/>
      <c r="AI87" s="375"/>
      <c r="AJ87" s="375"/>
      <c r="AK87" s="375"/>
    </row>
    <row r="88" spans="1:37">
      <c r="A88" s="506"/>
      <c r="B88" s="506"/>
      <c r="C88" s="375"/>
      <c r="D88" s="375"/>
      <c r="E88" s="375"/>
      <c r="F88" s="375"/>
      <c r="G88" s="375"/>
      <c r="H88" s="375"/>
      <c r="I88" s="375"/>
      <c r="J88" s="375"/>
      <c r="K88" s="375"/>
      <c r="L88" s="375"/>
      <c r="M88" s="375"/>
      <c r="N88" s="375"/>
      <c r="O88" s="375"/>
      <c r="P88" s="375"/>
      <c r="Q88" s="375"/>
      <c r="R88" s="375"/>
      <c r="U88" s="506"/>
      <c r="V88" s="375"/>
      <c r="W88" s="375"/>
      <c r="X88" s="375"/>
      <c r="Y88" s="375"/>
      <c r="Z88" s="375"/>
      <c r="AA88" s="375"/>
      <c r="AB88" s="375"/>
      <c r="AC88" s="375"/>
      <c r="AD88" s="375"/>
      <c r="AE88" s="375"/>
      <c r="AF88" s="375"/>
      <c r="AG88" s="375"/>
      <c r="AH88" s="375"/>
      <c r="AI88" s="375"/>
      <c r="AJ88" s="375"/>
      <c r="AK88" s="375"/>
    </row>
    <row r="89" spans="1:37">
      <c r="A89" s="375"/>
      <c r="B89" s="375"/>
      <c r="C89" s="375"/>
      <c r="D89" s="375"/>
      <c r="E89" s="375"/>
      <c r="F89" s="375"/>
      <c r="G89" s="375"/>
      <c r="H89" s="375"/>
      <c r="I89" s="375"/>
      <c r="J89" s="375"/>
      <c r="K89" s="375"/>
      <c r="L89" s="375"/>
      <c r="M89" s="375"/>
      <c r="N89" s="375"/>
      <c r="O89" s="375"/>
      <c r="P89" s="375"/>
      <c r="Q89" s="375"/>
      <c r="R89" s="375"/>
      <c r="U89" s="375"/>
      <c r="V89" s="375"/>
      <c r="W89" s="375"/>
      <c r="X89" s="375"/>
      <c r="Y89" s="375"/>
      <c r="Z89" s="375"/>
      <c r="AA89" s="375"/>
      <c r="AB89" s="375"/>
      <c r="AC89" s="375"/>
      <c r="AD89" s="375"/>
      <c r="AE89" s="375"/>
      <c r="AF89" s="375"/>
      <c r="AG89" s="375"/>
      <c r="AH89" s="375"/>
      <c r="AI89" s="375"/>
      <c r="AJ89" s="375"/>
      <c r="AK89" s="375"/>
    </row>
    <row r="90" spans="1:37">
      <c r="A90" s="506"/>
      <c r="B90" s="506"/>
      <c r="C90" s="375"/>
      <c r="D90" s="375"/>
      <c r="E90" s="375"/>
      <c r="F90" s="375"/>
      <c r="G90" s="375"/>
      <c r="H90" s="375"/>
      <c r="I90" s="375"/>
      <c r="J90" s="375"/>
      <c r="K90" s="375"/>
      <c r="L90" s="375"/>
      <c r="M90" s="375"/>
      <c r="N90" s="375"/>
      <c r="O90" s="375"/>
      <c r="P90" s="375"/>
      <c r="Q90" s="375"/>
      <c r="R90" s="375"/>
      <c r="U90" s="506"/>
      <c r="V90" s="375"/>
      <c r="W90" s="375"/>
      <c r="X90" s="375"/>
      <c r="Y90" s="375"/>
      <c r="Z90" s="375"/>
      <c r="AA90" s="375"/>
      <c r="AB90" s="375"/>
      <c r="AC90" s="375"/>
      <c r="AD90" s="375"/>
      <c r="AE90" s="375"/>
      <c r="AF90" s="375"/>
      <c r="AG90" s="375"/>
      <c r="AH90" s="375"/>
      <c r="AI90" s="375"/>
      <c r="AJ90" s="375"/>
      <c r="AK90" s="375"/>
    </row>
    <row r="91" spans="1:37">
      <c r="A91" s="375"/>
      <c r="B91" s="375"/>
      <c r="C91" s="375"/>
      <c r="D91" s="375"/>
      <c r="E91" s="375"/>
      <c r="F91" s="375"/>
      <c r="G91" s="375"/>
      <c r="H91" s="375"/>
      <c r="I91" s="375"/>
      <c r="J91" s="375"/>
      <c r="K91" s="375"/>
      <c r="L91" s="375"/>
      <c r="M91" s="375"/>
      <c r="N91" s="375"/>
      <c r="O91" s="375"/>
      <c r="P91" s="375"/>
      <c r="Q91" s="375"/>
      <c r="R91" s="375"/>
      <c r="U91" s="375"/>
      <c r="V91" s="375"/>
      <c r="W91" s="375"/>
      <c r="X91" s="375"/>
      <c r="Y91" s="375"/>
      <c r="Z91" s="375"/>
      <c r="AA91" s="375"/>
      <c r="AB91" s="375"/>
      <c r="AC91" s="375"/>
      <c r="AD91" s="375"/>
      <c r="AE91" s="375"/>
      <c r="AF91" s="375"/>
      <c r="AG91" s="375"/>
      <c r="AH91" s="375"/>
      <c r="AI91" s="375"/>
      <c r="AJ91" s="375"/>
      <c r="AK91" s="375"/>
    </row>
    <row r="92" spans="1:37">
      <c r="A92" s="375"/>
      <c r="B92" s="375"/>
      <c r="C92" s="375"/>
      <c r="D92" s="375"/>
      <c r="E92" s="375"/>
      <c r="F92" s="375"/>
      <c r="G92" s="375"/>
      <c r="H92" s="375"/>
      <c r="I92" s="375"/>
      <c r="J92" s="375"/>
      <c r="K92" s="375"/>
      <c r="L92" s="375"/>
      <c r="M92" s="375"/>
      <c r="N92" s="375"/>
      <c r="O92" s="375"/>
      <c r="P92" s="375"/>
      <c r="Q92" s="16"/>
      <c r="R92" s="375"/>
      <c r="U92" s="375"/>
      <c r="V92" s="375"/>
      <c r="W92" s="375"/>
      <c r="X92" s="375"/>
      <c r="Y92" s="375"/>
      <c r="Z92" s="375"/>
      <c r="AA92" s="375"/>
      <c r="AB92" s="375"/>
      <c r="AC92" s="375"/>
      <c r="AD92" s="375"/>
      <c r="AE92" s="375"/>
      <c r="AF92" s="375"/>
      <c r="AG92" s="375"/>
      <c r="AH92" s="375"/>
      <c r="AI92" s="375"/>
      <c r="AJ92" s="16"/>
      <c r="AK92" s="375"/>
    </row>
    <row r="93" spans="1:37">
      <c r="A93" s="375"/>
      <c r="B93" s="375"/>
      <c r="C93" s="375"/>
      <c r="D93" s="375"/>
      <c r="E93" s="375"/>
      <c r="F93" s="375"/>
      <c r="G93" s="375"/>
      <c r="H93" s="375"/>
      <c r="I93" s="375"/>
      <c r="J93" s="375"/>
      <c r="K93" s="375"/>
      <c r="L93" s="375"/>
      <c r="M93" s="375"/>
      <c r="N93" s="375"/>
      <c r="O93" s="375"/>
      <c r="P93" s="375"/>
      <c r="Q93" s="375"/>
      <c r="R93" s="375"/>
      <c r="U93" s="375"/>
      <c r="V93" s="375"/>
      <c r="W93" s="375"/>
      <c r="X93" s="375"/>
      <c r="Y93" s="375"/>
      <c r="Z93" s="375"/>
      <c r="AA93" s="375"/>
      <c r="AB93" s="375"/>
      <c r="AC93" s="375"/>
      <c r="AD93" s="375"/>
      <c r="AE93" s="375"/>
      <c r="AF93" s="375"/>
      <c r="AG93" s="375"/>
      <c r="AH93" s="375"/>
      <c r="AI93" s="375"/>
      <c r="AJ93" s="375"/>
      <c r="AK93" s="375"/>
    </row>
    <row r="94" spans="1:37">
      <c r="A94" s="375"/>
      <c r="B94" s="375"/>
      <c r="C94" s="375"/>
      <c r="D94" s="375"/>
      <c r="E94" s="375"/>
      <c r="F94" s="375"/>
      <c r="G94" s="375"/>
      <c r="H94" s="375"/>
      <c r="I94" s="375"/>
      <c r="J94" s="375"/>
      <c r="K94" s="375"/>
      <c r="L94" s="375"/>
      <c r="M94" s="375"/>
      <c r="N94" s="375"/>
      <c r="O94" s="375"/>
      <c r="P94" s="375"/>
      <c r="Q94" s="375"/>
      <c r="R94" s="375"/>
      <c r="U94" s="375"/>
      <c r="V94" s="375"/>
      <c r="W94" s="375"/>
      <c r="X94" s="375"/>
      <c r="Y94" s="375"/>
      <c r="Z94" s="375"/>
      <c r="AA94" s="375"/>
      <c r="AB94" s="375"/>
      <c r="AC94" s="375"/>
      <c r="AD94" s="375"/>
      <c r="AE94" s="375"/>
      <c r="AF94" s="375"/>
      <c r="AG94" s="375"/>
      <c r="AH94" s="375"/>
      <c r="AI94" s="375"/>
      <c r="AJ94" s="375"/>
      <c r="AK94" s="375"/>
    </row>
    <row r="95" spans="1:37">
      <c r="A95" s="375"/>
      <c r="B95" s="375"/>
      <c r="C95" s="375"/>
      <c r="D95" s="375"/>
      <c r="E95" s="375"/>
      <c r="F95" s="375"/>
      <c r="G95" s="375"/>
      <c r="H95" s="375"/>
      <c r="I95" s="375"/>
      <c r="J95" s="375"/>
      <c r="K95" s="375"/>
      <c r="L95" s="375"/>
      <c r="M95" s="375"/>
      <c r="N95" s="375"/>
      <c r="O95" s="375"/>
      <c r="P95" s="375"/>
      <c r="Q95" s="375"/>
      <c r="R95" s="375"/>
      <c r="U95" s="375"/>
      <c r="V95" s="375"/>
      <c r="W95" s="375"/>
      <c r="X95" s="375"/>
      <c r="Y95" s="375"/>
      <c r="Z95" s="375"/>
      <c r="AA95" s="375"/>
      <c r="AB95" s="375"/>
      <c r="AC95" s="375"/>
      <c r="AD95" s="375"/>
      <c r="AE95" s="375"/>
      <c r="AF95" s="375"/>
      <c r="AG95" s="375"/>
      <c r="AH95" s="375"/>
      <c r="AI95" s="375"/>
      <c r="AJ95" s="375"/>
      <c r="AK95" s="375"/>
    </row>
    <row r="96" spans="1:37">
      <c r="A96" s="506"/>
      <c r="B96" s="506"/>
      <c r="C96" s="375"/>
      <c r="D96" s="375"/>
      <c r="E96" s="375"/>
      <c r="F96" s="375"/>
      <c r="G96" s="375"/>
      <c r="H96" s="375"/>
      <c r="I96" s="375"/>
      <c r="J96" s="375"/>
      <c r="K96" s="375"/>
      <c r="L96" s="375"/>
      <c r="M96" s="375"/>
      <c r="N96" s="375"/>
      <c r="O96" s="375"/>
      <c r="P96" s="375"/>
      <c r="Q96" s="375"/>
      <c r="R96" s="375"/>
      <c r="U96" s="506"/>
      <c r="V96" s="375"/>
      <c r="W96" s="375"/>
      <c r="X96" s="375"/>
      <c r="Y96" s="375"/>
      <c r="Z96" s="375"/>
      <c r="AA96" s="375"/>
      <c r="AB96" s="375"/>
      <c r="AC96" s="375"/>
      <c r="AD96" s="375"/>
      <c r="AE96" s="375"/>
      <c r="AF96" s="375"/>
      <c r="AG96" s="375"/>
      <c r="AH96" s="375"/>
      <c r="AI96" s="375"/>
      <c r="AJ96" s="375"/>
      <c r="AK96" s="375"/>
    </row>
    <row r="97" spans="1:37">
      <c r="A97" s="375"/>
      <c r="B97" s="375"/>
      <c r="C97" s="375"/>
      <c r="D97" s="375"/>
      <c r="E97" s="375"/>
      <c r="F97" s="375"/>
      <c r="G97" s="375"/>
      <c r="H97" s="375"/>
      <c r="I97" s="375"/>
      <c r="J97" s="375"/>
      <c r="K97" s="375"/>
      <c r="L97" s="375"/>
      <c r="M97" s="375"/>
      <c r="N97" s="375"/>
      <c r="O97" s="375"/>
      <c r="P97" s="375"/>
      <c r="Q97" s="375"/>
      <c r="R97" s="375"/>
      <c r="U97" s="375"/>
      <c r="V97" s="375"/>
      <c r="W97" s="375"/>
      <c r="X97" s="375"/>
      <c r="Y97" s="375"/>
      <c r="Z97" s="375"/>
      <c r="AA97" s="375"/>
      <c r="AB97" s="375"/>
      <c r="AC97" s="375"/>
      <c r="AD97" s="375"/>
      <c r="AE97" s="375"/>
      <c r="AF97" s="375"/>
      <c r="AG97" s="375"/>
      <c r="AH97" s="375"/>
      <c r="AI97" s="375"/>
      <c r="AJ97" s="375"/>
      <c r="AK97" s="375"/>
    </row>
    <row r="98" spans="1:37">
      <c r="A98" s="375"/>
      <c r="B98" s="375"/>
      <c r="C98" s="375"/>
      <c r="D98" s="375"/>
      <c r="E98" s="375"/>
      <c r="F98" s="375"/>
      <c r="G98" s="375"/>
      <c r="H98" s="375"/>
      <c r="I98" s="375"/>
      <c r="J98" s="375"/>
      <c r="K98" s="375"/>
      <c r="L98" s="375"/>
      <c r="M98" s="375"/>
      <c r="N98" s="375"/>
      <c r="O98" s="375"/>
      <c r="P98" s="375"/>
      <c r="Q98" s="16"/>
      <c r="R98" s="375"/>
      <c r="U98" s="375"/>
      <c r="V98" s="375"/>
      <c r="W98" s="375"/>
      <c r="X98" s="375"/>
      <c r="Y98" s="375"/>
      <c r="Z98" s="375"/>
      <c r="AA98" s="375"/>
      <c r="AB98" s="375"/>
      <c r="AC98" s="375"/>
      <c r="AD98" s="375"/>
      <c r="AE98" s="375"/>
      <c r="AF98" s="375"/>
      <c r="AG98" s="375"/>
      <c r="AH98" s="375"/>
      <c r="AI98" s="375"/>
      <c r="AJ98" s="16"/>
      <c r="AK98" s="375"/>
    </row>
    <row r="99" spans="1:37">
      <c r="A99" s="375"/>
      <c r="B99" s="375"/>
      <c r="C99" s="375"/>
      <c r="D99" s="375"/>
      <c r="E99" s="375"/>
      <c r="F99" s="375"/>
      <c r="G99" s="375"/>
      <c r="H99" s="375"/>
      <c r="I99" s="375"/>
      <c r="J99" s="375"/>
      <c r="K99" s="375"/>
      <c r="L99" s="375"/>
      <c r="M99" s="375"/>
      <c r="N99" s="375"/>
      <c r="O99" s="375"/>
      <c r="P99" s="375"/>
      <c r="Q99" s="375"/>
      <c r="R99" s="375"/>
      <c r="U99" s="375"/>
      <c r="V99" s="375"/>
      <c r="W99" s="375"/>
      <c r="X99" s="375"/>
      <c r="Y99" s="375"/>
      <c r="Z99" s="375"/>
      <c r="AA99" s="375"/>
      <c r="AB99" s="375"/>
      <c r="AC99" s="375"/>
      <c r="AD99" s="375"/>
      <c r="AE99" s="375"/>
      <c r="AF99" s="375"/>
      <c r="AG99" s="375"/>
      <c r="AH99" s="375"/>
      <c r="AI99" s="375"/>
      <c r="AJ99" s="375"/>
      <c r="AK99" s="375"/>
    </row>
    <row r="100" spans="1:37">
      <c r="A100" s="375"/>
      <c r="B100" s="375"/>
      <c r="C100" s="375"/>
      <c r="D100" s="375"/>
      <c r="E100" s="375"/>
      <c r="F100" s="375"/>
      <c r="G100" s="375"/>
      <c r="H100" s="375"/>
      <c r="I100" s="375"/>
      <c r="J100" s="375"/>
      <c r="K100" s="375"/>
      <c r="L100" s="375"/>
      <c r="M100" s="375"/>
      <c r="N100" s="375"/>
      <c r="O100" s="375"/>
      <c r="P100" s="375"/>
      <c r="Q100" s="375"/>
      <c r="R100" s="375"/>
      <c r="U100" s="375"/>
      <c r="V100" s="375"/>
      <c r="W100" s="375"/>
      <c r="X100" s="375"/>
      <c r="Y100" s="375"/>
      <c r="Z100" s="375"/>
      <c r="AA100" s="375"/>
      <c r="AB100" s="375"/>
      <c r="AC100" s="375"/>
      <c r="AD100" s="375"/>
      <c r="AE100" s="375"/>
      <c r="AF100" s="375"/>
      <c r="AG100" s="375"/>
      <c r="AH100" s="375"/>
      <c r="AI100" s="375"/>
      <c r="AJ100" s="375"/>
      <c r="AK100" s="375"/>
    </row>
    <row r="101" spans="1:37">
      <c r="A101" s="375"/>
      <c r="B101" s="375"/>
      <c r="C101" s="375"/>
      <c r="D101" s="375"/>
      <c r="E101" s="375"/>
      <c r="F101" s="375"/>
      <c r="G101" s="375"/>
      <c r="H101" s="375"/>
      <c r="I101" s="375"/>
      <c r="J101" s="375"/>
      <c r="K101" s="375"/>
      <c r="L101" s="375"/>
      <c r="M101" s="375"/>
      <c r="N101" s="375"/>
      <c r="O101" s="375"/>
      <c r="P101" s="375"/>
      <c r="Q101" s="375"/>
      <c r="R101" s="375"/>
      <c r="U101" s="375"/>
      <c r="V101" s="375"/>
      <c r="W101" s="375"/>
      <c r="X101" s="375"/>
      <c r="Y101" s="375"/>
      <c r="Z101" s="375"/>
      <c r="AA101" s="375"/>
      <c r="AB101" s="375"/>
      <c r="AC101" s="375"/>
      <c r="AD101" s="375"/>
      <c r="AE101" s="375"/>
      <c r="AF101" s="375"/>
      <c r="AG101" s="375"/>
      <c r="AH101" s="375"/>
      <c r="AI101" s="375"/>
      <c r="AJ101" s="375"/>
      <c r="AK101" s="375"/>
    </row>
    <row r="102" spans="1:37">
      <c r="A102" s="506"/>
      <c r="B102" s="506"/>
      <c r="C102" s="375"/>
      <c r="D102" s="375"/>
      <c r="E102" s="375"/>
      <c r="F102" s="375"/>
      <c r="G102" s="375"/>
      <c r="H102" s="375"/>
      <c r="I102" s="375"/>
      <c r="J102" s="375"/>
      <c r="K102" s="375"/>
      <c r="L102" s="375"/>
      <c r="M102" s="375"/>
      <c r="N102" s="375"/>
      <c r="O102" s="375"/>
      <c r="P102" s="375"/>
      <c r="Q102" s="375"/>
      <c r="R102" s="375"/>
      <c r="U102" s="506"/>
      <c r="V102" s="375"/>
      <c r="W102" s="375"/>
      <c r="X102" s="375"/>
      <c r="Y102" s="375"/>
      <c r="Z102" s="375"/>
      <c r="AA102" s="375"/>
      <c r="AB102" s="375"/>
      <c r="AC102" s="375"/>
      <c r="AD102" s="375"/>
      <c r="AE102" s="375"/>
      <c r="AF102" s="375"/>
      <c r="AG102" s="375"/>
      <c r="AH102" s="375"/>
      <c r="AI102" s="375"/>
      <c r="AJ102" s="375"/>
      <c r="AK102" s="375"/>
    </row>
    <row r="103" spans="1:37">
      <c r="A103" s="375"/>
      <c r="B103" s="375"/>
      <c r="C103" s="375"/>
      <c r="D103" s="375"/>
      <c r="E103" s="375"/>
      <c r="F103" s="375"/>
      <c r="G103" s="375"/>
      <c r="H103" s="375"/>
      <c r="I103" s="375"/>
      <c r="J103" s="375"/>
      <c r="K103" s="375"/>
      <c r="L103" s="375"/>
      <c r="M103" s="375"/>
      <c r="N103" s="375"/>
      <c r="O103" s="375"/>
      <c r="P103" s="375"/>
      <c r="Q103" s="375"/>
      <c r="R103" s="375"/>
      <c r="U103" s="375"/>
      <c r="V103" s="375"/>
      <c r="W103" s="375"/>
      <c r="X103" s="375"/>
      <c r="Y103" s="375"/>
      <c r="Z103" s="375"/>
      <c r="AA103" s="375"/>
      <c r="AB103" s="375"/>
      <c r="AC103" s="375"/>
      <c r="AD103" s="375"/>
      <c r="AE103" s="375"/>
      <c r="AF103" s="375"/>
      <c r="AG103" s="375"/>
      <c r="AH103" s="375"/>
      <c r="AI103" s="375"/>
      <c r="AJ103" s="375"/>
      <c r="AK103" s="375"/>
    </row>
    <row r="104" spans="1:37">
      <c r="A104" s="375"/>
      <c r="B104" s="375"/>
      <c r="C104" s="375"/>
      <c r="D104" s="375"/>
      <c r="E104" s="375"/>
      <c r="F104" s="375"/>
      <c r="G104" s="375"/>
      <c r="H104" s="375"/>
      <c r="I104" s="375"/>
      <c r="J104" s="375"/>
      <c r="K104" s="375"/>
      <c r="L104" s="375"/>
      <c r="M104" s="375"/>
      <c r="N104" s="375"/>
      <c r="O104" s="375"/>
      <c r="P104" s="375"/>
      <c r="Q104" s="16"/>
      <c r="R104" s="375"/>
      <c r="U104" s="375"/>
      <c r="V104" s="375"/>
      <c r="W104" s="375"/>
      <c r="X104" s="375"/>
      <c r="Y104" s="375"/>
      <c r="Z104" s="375"/>
      <c r="AA104" s="375"/>
      <c r="AB104" s="375"/>
      <c r="AC104" s="375"/>
      <c r="AD104" s="375"/>
      <c r="AE104" s="375"/>
      <c r="AF104" s="375"/>
      <c r="AG104" s="375"/>
      <c r="AH104" s="375"/>
      <c r="AI104" s="375"/>
      <c r="AJ104" s="16"/>
      <c r="AK104" s="375"/>
    </row>
    <row r="105" spans="1:37">
      <c r="A105" s="375"/>
      <c r="B105" s="375"/>
      <c r="C105" s="375"/>
      <c r="D105" s="375"/>
      <c r="E105" s="375"/>
      <c r="F105" s="375"/>
      <c r="G105" s="375"/>
      <c r="H105" s="375"/>
      <c r="I105" s="375"/>
      <c r="J105" s="375"/>
      <c r="K105" s="375"/>
      <c r="L105" s="375"/>
      <c r="M105" s="375"/>
      <c r="N105" s="375"/>
      <c r="O105" s="375"/>
      <c r="P105" s="375"/>
      <c r="Q105" s="375"/>
      <c r="R105" s="375"/>
      <c r="U105" s="375"/>
      <c r="V105" s="375"/>
      <c r="W105" s="375"/>
      <c r="X105" s="375"/>
      <c r="Y105" s="375"/>
      <c r="Z105" s="375"/>
      <c r="AA105" s="375"/>
      <c r="AB105" s="375"/>
      <c r="AC105" s="375"/>
      <c r="AD105" s="375"/>
      <c r="AE105" s="375"/>
      <c r="AF105" s="375"/>
      <c r="AG105" s="375"/>
      <c r="AH105" s="375"/>
      <c r="AI105" s="375"/>
      <c r="AJ105" s="375"/>
      <c r="AK105" s="375"/>
    </row>
    <row r="106" spans="1:37">
      <c r="A106" s="375"/>
      <c r="B106" s="375"/>
      <c r="C106" s="375"/>
      <c r="D106" s="375"/>
      <c r="E106" s="375"/>
      <c r="F106" s="375"/>
      <c r="G106" s="375"/>
      <c r="H106" s="375"/>
      <c r="I106" s="375"/>
      <c r="J106" s="375"/>
      <c r="K106" s="375"/>
      <c r="L106" s="375"/>
      <c r="M106" s="375"/>
      <c r="N106" s="375"/>
      <c r="O106" s="375"/>
      <c r="P106" s="375"/>
      <c r="Q106" s="375"/>
      <c r="R106" s="375"/>
      <c r="U106" s="375"/>
      <c r="V106" s="375"/>
      <c r="W106" s="375"/>
      <c r="X106" s="375"/>
      <c r="Y106" s="375"/>
      <c r="Z106" s="375"/>
      <c r="AA106" s="375"/>
      <c r="AB106" s="375"/>
      <c r="AC106" s="375"/>
      <c r="AD106" s="375"/>
      <c r="AE106" s="375"/>
      <c r="AF106" s="375"/>
      <c r="AG106" s="375"/>
      <c r="AH106" s="375"/>
      <c r="AI106" s="375"/>
      <c r="AJ106" s="375"/>
      <c r="AK106" s="375"/>
    </row>
    <row r="107" spans="1:37">
      <c r="A107" s="375"/>
      <c r="B107" s="375"/>
      <c r="C107" s="375"/>
      <c r="D107" s="375"/>
      <c r="E107" s="375"/>
      <c r="F107" s="375"/>
      <c r="G107" s="375"/>
      <c r="H107" s="375"/>
      <c r="I107" s="375"/>
      <c r="J107" s="375"/>
      <c r="K107" s="375"/>
      <c r="L107" s="375"/>
      <c r="M107" s="375"/>
      <c r="N107" s="375"/>
      <c r="O107" s="375"/>
      <c r="P107" s="375"/>
      <c r="Q107" s="375"/>
      <c r="R107" s="375"/>
      <c r="U107" s="375"/>
      <c r="V107" s="375"/>
      <c r="W107" s="375"/>
      <c r="X107" s="375"/>
      <c r="Y107" s="375"/>
      <c r="Z107" s="375"/>
      <c r="AA107" s="375"/>
      <c r="AB107" s="375"/>
      <c r="AC107" s="375"/>
      <c r="AD107" s="375"/>
      <c r="AE107" s="375"/>
      <c r="AF107" s="375"/>
      <c r="AG107" s="375"/>
      <c r="AH107" s="375"/>
      <c r="AI107" s="375"/>
      <c r="AJ107" s="375"/>
      <c r="AK107" s="375"/>
    </row>
    <row r="108" spans="1:37">
      <c r="A108" s="506"/>
      <c r="B108" s="506"/>
      <c r="C108" s="375"/>
      <c r="D108" s="375"/>
      <c r="E108" s="375"/>
      <c r="F108" s="375"/>
      <c r="G108" s="375"/>
      <c r="H108" s="375"/>
      <c r="I108" s="375"/>
      <c r="J108" s="375"/>
      <c r="K108" s="375"/>
      <c r="L108" s="375"/>
      <c r="M108" s="375"/>
      <c r="N108" s="375"/>
      <c r="O108" s="375"/>
      <c r="P108" s="375"/>
      <c r="Q108" s="375"/>
      <c r="R108" s="375"/>
      <c r="U108" s="506"/>
      <c r="V108" s="375"/>
      <c r="W108" s="375"/>
      <c r="X108" s="375"/>
      <c r="Y108" s="375"/>
      <c r="Z108" s="375"/>
      <c r="AA108" s="375"/>
      <c r="AB108" s="375"/>
      <c r="AC108" s="375"/>
      <c r="AD108" s="375"/>
      <c r="AE108" s="375"/>
      <c r="AF108" s="375"/>
      <c r="AG108" s="375"/>
      <c r="AH108" s="375"/>
      <c r="AI108" s="375"/>
      <c r="AJ108" s="375"/>
      <c r="AK108" s="375"/>
    </row>
    <row r="109" spans="1:37">
      <c r="A109" s="375"/>
      <c r="B109" s="375"/>
      <c r="C109" s="375"/>
      <c r="D109" s="375"/>
      <c r="E109" s="375"/>
      <c r="F109" s="375"/>
      <c r="G109" s="375"/>
      <c r="H109" s="375"/>
      <c r="I109" s="375"/>
      <c r="J109" s="375"/>
      <c r="K109" s="375"/>
      <c r="L109" s="375"/>
      <c r="M109" s="375"/>
      <c r="N109" s="375"/>
      <c r="O109" s="375"/>
      <c r="P109" s="375"/>
      <c r="Q109" s="375"/>
      <c r="R109" s="375"/>
      <c r="U109" s="375"/>
      <c r="V109" s="375"/>
      <c r="W109" s="375"/>
      <c r="X109" s="375"/>
      <c r="Y109" s="375"/>
      <c r="Z109" s="375"/>
      <c r="AA109" s="375"/>
      <c r="AB109" s="375"/>
      <c r="AC109" s="375"/>
      <c r="AD109" s="375"/>
      <c r="AE109" s="375"/>
      <c r="AF109" s="375"/>
      <c r="AG109" s="375"/>
      <c r="AH109" s="375"/>
      <c r="AI109" s="375"/>
      <c r="AJ109" s="375"/>
      <c r="AK109" s="375"/>
    </row>
    <row r="110" spans="1:37">
      <c r="A110" s="375"/>
      <c r="B110" s="375"/>
      <c r="C110" s="375"/>
      <c r="D110" s="375"/>
      <c r="E110" s="375"/>
      <c r="F110" s="375"/>
      <c r="G110" s="375"/>
      <c r="H110" s="375"/>
      <c r="I110" s="375"/>
      <c r="J110" s="375"/>
      <c r="K110" s="375"/>
      <c r="L110" s="375"/>
      <c r="M110" s="375"/>
      <c r="N110" s="375"/>
      <c r="O110" s="375"/>
      <c r="P110" s="375"/>
      <c r="Q110" s="16"/>
      <c r="R110" s="375"/>
      <c r="U110" s="375"/>
      <c r="V110" s="375"/>
      <c r="W110" s="375"/>
      <c r="X110" s="375"/>
      <c r="Y110" s="375"/>
      <c r="Z110" s="375"/>
      <c r="AA110" s="375"/>
      <c r="AB110" s="375"/>
      <c r="AC110" s="375"/>
      <c r="AD110" s="375"/>
      <c r="AE110" s="375"/>
      <c r="AF110" s="375"/>
      <c r="AG110" s="375"/>
      <c r="AH110" s="375"/>
      <c r="AI110" s="375"/>
      <c r="AJ110" s="16"/>
      <c r="AK110" s="375"/>
    </row>
    <row r="111" spans="1:37">
      <c r="A111" s="375"/>
      <c r="B111" s="375"/>
      <c r="C111" s="375"/>
      <c r="D111" s="375"/>
      <c r="E111" s="375"/>
      <c r="F111" s="375"/>
      <c r="G111" s="375"/>
      <c r="H111" s="375"/>
      <c r="I111" s="375"/>
      <c r="J111" s="375"/>
      <c r="K111" s="375"/>
      <c r="L111" s="375"/>
      <c r="M111" s="375"/>
      <c r="N111" s="375"/>
      <c r="O111" s="375"/>
      <c r="P111" s="375"/>
      <c r="Q111" s="375"/>
      <c r="R111" s="375"/>
      <c r="U111" s="375"/>
      <c r="V111" s="375"/>
      <c r="W111" s="375"/>
      <c r="X111" s="375"/>
      <c r="Y111" s="375"/>
      <c r="Z111" s="375"/>
      <c r="AA111" s="375"/>
      <c r="AB111" s="375"/>
      <c r="AC111" s="375"/>
      <c r="AD111" s="375"/>
      <c r="AE111" s="375"/>
      <c r="AF111" s="375"/>
      <c r="AG111" s="375"/>
      <c r="AH111" s="375"/>
      <c r="AI111" s="375"/>
      <c r="AJ111" s="375"/>
      <c r="AK111" s="375"/>
    </row>
    <row r="112" spans="1:37">
      <c r="A112" s="375"/>
      <c r="B112" s="375"/>
      <c r="C112" s="375"/>
      <c r="D112" s="375"/>
      <c r="E112" s="375"/>
      <c r="F112" s="375"/>
      <c r="G112" s="375"/>
      <c r="H112" s="375"/>
      <c r="I112" s="375"/>
      <c r="J112" s="375"/>
      <c r="K112" s="375"/>
      <c r="L112" s="375"/>
      <c r="M112" s="375"/>
      <c r="N112" s="375"/>
      <c r="O112" s="375"/>
      <c r="P112" s="375"/>
      <c r="Q112" s="375"/>
      <c r="R112" s="375"/>
      <c r="U112" s="375"/>
      <c r="V112" s="375"/>
      <c r="W112" s="375"/>
      <c r="X112" s="375"/>
      <c r="Y112" s="375"/>
      <c r="Z112" s="375"/>
      <c r="AA112" s="375"/>
      <c r="AB112" s="375"/>
      <c r="AC112" s="375"/>
      <c r="AD112" s="375"/>
      <c r="AE112" s="375"/>
      <c r="AF112" s="375"/>
      <c r="AG112" s="375"/>
      <c r="AH112" s="375"/>
      <c r="AI112" s="375"/>
      <c r="AJ112" s="375"/>
      <c r="AK112" s="375"/>
    </row>
    <row r="113" spans="1:37">
      <c r="A113" s="375"/>
      <c r="B113" s="375"/>
      <c r="C113" s="375"/>
      <c r="D113" s="375"/>
      <c r="E113" s="375"/>
      <c r="F113" s="375"/>
      <c r="G113" s="375"/>
      <c r="H113" s="375"/>
      <c r="I113" s="375"/>
      <c r="J113" s="375"/>
      <c r="K113" s="375"/>
      <c r="L113" s="375"/>
      <c r="M113" s="375"/>
      <c r="N113" s="375"/>
      <c r="O113" s="375"/>
      <c r="P113" s="375"/>
      <c r="Q113" s="375"/>
      <c r="R113" s="375"/>
      <c r="U113" s="375"/>
      <c r="V113" s="375"/>
      <c r="W113" s="375"/>
      <c r="X113" s="375"/>
      <c r="Y113" s="375"/>
      <c r="Z113" s="375"/>
      <c r="AA113" s="375"/>
      <c r="AB113" s="375"/>
      <c r="AC113" s="375"/>
      <c r="AD113" s="375"/>
      <c r="AE113" s="375"/>
      <c r="AF113" s="375"/>
      <c r="AG113" s="375"/>
      <c r="AH113" s="375"/>
      <c r="AI113" s="375"/>
      <c r="AJ113" s="375"/>
      <c r="AK113" s="375"/>
    </row>
    <row r="114" spans="1:37">
      <c r="A114" s="506"/>
      <c r="B114" s="506"/>
      <c r="C114" s="375"/>
      <c r="D114" s="375"/>
      <c r="E114" s="375"/>
      <c r="F114" s="375"/>
      <c r="G114" s="375"/>
      <c r="H114" s="375"/>
      <c r="I114" s="375"/>
      <c r="J114" s="375"/>
      <c r="K114" s="375"/>
      <c r="L114" s="375"/>
      <c r="M114" s="375"/>
      <c r="N114" s="375"/>
      <c r="O114" s="375"/>
      <c r="P114" s="375"/>
      <c r="Q114" s="375"/>
      <c r="R114" s="375"/>
      <c r="U114" s="506"/>
      <c r="V114" s="375"/>
      <c r="W114" s="375"/>
      <c r="X114" s="375"/>
      <c r="Y114" s="375"/>
      <c r="Z114" s="375"/>
      <c r="AA114" s="375"/>
      <c r="AB114" s="375"/>
      <c r="AC114" s="375"/>
      <c r="AD114" s="375"/>
      <c r="AE114" s="375"/>
      <c r="AF114" s="375"/>
      <c r="AG114" s="375"/>
      <c r="AH114" s="375"/>
      <c r="AI114" s="375"/>
      <c r="AJ114" s="375"/>
      <c r="AK114" s="375"/>
    </row>
    <row r="115" spans="1:37">
      <c r="A115" s="375"/>
      <c r="B115" s="375"/>
      <c r="C115" s="375"/>
      <c r="D115" s="375"/>
      <c r="E115" s="375"/>
      <c r="F115" s="375"/>
      <c r="G115" s="375"/>
      <c r="H115" s="375"/>
      <c r="I115" s="375"/>
      <c r="J115" s="375"/>
      <c r="K115" s="375"/>
      <c r="L115" s="375"/>
      <c r="M115" s="375"/>
      <c r="N115" s="375"/>
      <c r="O115" s="375"/>
      <c r="P115" s="375"/>
      <c r="Q115" s="375"/>
      <c r="R115" s="375"/>
      <c r="U115" s="375"/>
      <c r="V115" s="375"/>
      <c r="W115" s="375"/>
      <c r="X115" s="375"/>
      <c r="Y115" s="375"/>
      <c r="Z115" s="375"/>
      <c r="AA115" s="375"/>
      <c r="AB115" s="375"/>
      <c r="AC115" s="375"/>
      <c r="AD115" s="375"/>
      <c r="AE115" s="375"/>
      <c r="AF115" s="375"/>
      <c r="AG115" s="375"/>
      <c r="AH115" s="375"/>
      <c r="AI115" s="375"/>
      <c r="AJ115" s="375"/>
      <c r="AK115" s="375"/>
    </row>
    <row r="116" spans="1:37">
      <c r="A116" s="375"/>
      <c r="B116" s="375"/>
      <c r="C116" s="375"/>
      <c r="D116" s="375"/>
      <c r="E116" s="375"/>
      <c r="F116" s="375"/>
      <c r="G116" s="375"/>
      <c r="H116" s="375"/>
      <c r="I116" s="375"/>
      <c r="J116" s="375"/>
      <c r="K116" s="375"/>
      <c r="L116" s="375"/>
      <c r="M116" s="375"/>
      <c r="N116" s="375"/>
      <c r="O116" s="375"/>
      <c r="P116" s="375"/>
      <c r="Q116" s="16"/>
      <c r="R116" s="375"/>
      <c r="U116" s="375"/>
      <c r="V116" s="375"/>
      <c r="W116" s="375"/>
      <c r="X116" s="375"/>
      <c r="Y116" s="375"/>
      <c r="Z116" s="375"/>
      <c r="AA116" s="375"/>
      <c r="AB116" s="375"/>
      <c r="AC116" s="375"/>
      <c r="AD116" s="375"/>
      <c r="AE116" s="375"/>
      <c r="AF116" s="375"/>
      <c r="AG116" s="375"/>
      <c r="AH116" s="375"/>
      <c r="AI116" s="375"/>
      <c r="AJ116" s="16"/>
      <c r="AK116" s="375"/>
    </row>
    <row r="117" spans="1:37">
      <c r="A117" s="375"/>
      <c r="B117" s="375"/>
      <c r="C117" s="375"/>
      <c r="D117" s="375"/>
      <c r="E117" s="375"/>
      <c r="F117" s="375"/>
      <c r="G117" s="375"/>
      <c r="H117" s="375"/>
      <c r="I117" s="375"/>
      <c r="J117" s="375"/>
      <c r="K117" s="375"/>
      <c r="L117" s="375"/>
      <c r="M117" s="375"/>
      <c r="N117" s="375"/>
      <c r="O117" s="375"/>
      <c r="P117" s="375"/>
      <c r="Q117" s="375"/>
      <c r="R117" s="375"/>
      <c r="U117" s="375"/>
      <c r="V117" s="375"/>
      <c r="W117" s="375"/>
      <c r="X117" s="375"/>
      <c r="Y117" s="375"/>
      <c r="Z117" s="375"/>
      <c r="AA117" s="375"/>
      <c r="AB117" s="375"/>
      <c r="AC117" s="375"/>
      <c r="AD117" s="375"/>
      <c r="AE117" s="375"/>
      <c r="AF117" s="375"/>
      <c r="AG117" s="375"/>
      <c r="AH117" s="375"/>
      <c r="AI117" s="375"/>
      <c r="AJ117" s="375"/>
      <c r="AK117" s="375"/>
    </row>
    <row r="118" spans="1:37">
      <c r="A118" s="375"/>
      <c r="B118" s="375"/>
      <c r="C118" s="375"/>
      <c r="D118" s="375"/>
      <c r="E118" s="375"/>
      <c r="F118" s="375"/>
      <c r="G118" s="375"/>
      <c r="H118" s="375"/>
      <c r="I118" s="375"/>
      <c r="J118" s="375"/>
      <c r="K118" s="375"/>
      <c r="L118" s="375"/>
      <c r="M118" s="375"/>
      <c r="N118" s="375"/>
      <c r="O118" s="375"/>
      <c r="P118" s="375"/>
      <c r="Q118" s="375"/>
      <c r="R118" s="375"/>
      <c r="U118" s="375"/>
      <c r="V118" s="375"/>
      <c r="W118" s="375"/>
      <c r="X118" s="375"/>
      <c r="Y118" s="375"/>
      <c r="Z118" s="375"/>
      <c r="AA118" s="375"/>
      <c r="AB118" s="375"/>
      <c r="AC118" s="375"/>
      <c r="AD118" s="375"/>
      <c r="AE118" s="375"/>
      <c r="AF118" s="375"/>
      <c r="AG118" s="375"/>
      <c r="AH118" s="375"/>
      <c r="AI118" s="375"/>
      <c r="AJ118" s="375"/>
      <c r="AK118" s="375"/>
    </row>
    <row r="119" spans="1:37">
      <c r="A119" s="375"/>
      <c r="B119" s="375"/>
      <c r="C119" s="375"/>
      <c r="D119" s="375"/>
      <c r="E119" s="375"/>
      <c r="F119" s="375"/>
      <c r="G119" s="375"/>
      <c r="H119" s="375"/>
      <c r="I119" s="375"/>
      <c r="J119" s="375"/>
      <c r="K119" s="375"/>
      <c r="L119" s="375"/>
      <c r="M119" s="375"/>
      <c r="N119" s="375"/>
      <c r="O119" s="375"/>
      <c r="P119" s="375"/>
      <c r="Q119" s="375"/>
      <c r="R119" s="375"/>
      <c r="U119" s="375"/>
      <c r="V119" s="375"/>
      <c r="W119" s="375"/>
      <c r="X119" s="375"/>
      <c r="Y119" s="375"/>
      <c r="Z119" s="375"/>
      <c r="AA119" s="375"/>
      <c r="AB119" s="375"/>
      <c r="AC119" s="375"/>
      <c r="AD119" s="375"/>
      <c r="AE119" s="375"/>
      <c r="AF119" s="375"/>
      <c r="AG119" s="375"/>
      <c r="AH119" s="375"/>
      <c r="AI119" s="375"/>
      <c r="AJ119" s="375"/>
      <c r="AK119" s="375"/>
    </row>
    <row r="120" spans="1:37">
      <c r="A120" s="506"/>
      <c r="B120" s="506"/>
      <c r="C120" s="375"/>
      <c r="D120" s="375"/>
      <c r="E120" s="375"/>
      <c r="F120" s="375"/>
      <c r="G120" s="375"/>
      <c r="H120" s="375"/>
      <c r="I120" s="375"/>
      <c r="J120" s="375"/>
      <c r="K120" s="375"/>
      <c r="L120" s="375"/>
      <c r="M120" s="375"/>
      <c r="N120" s="375"/>
      <c r="O120" s="375"/>
      <c r="P120" s="375"/>
      <c r="Q120" s="375"/>
      <c r="R120" s="375"/>
      <c r="U120" s="506"/>
      <c r="V120" s="375"/>
      <c r="W120" s="375"/>
      <c r="X120" s="375"/>
      <c r="Y120" s="375"/>
      <c r="Z120" s="375"/>
      <c r="AA120" s="375"/>
      <c r="AB120" s="375"/>
      <c r="AC120" s="375"/>
      <c r="AD120" s="375"/>
      <c r="AE120" s="375"/>
      <c r="AF120" s="375"/>
      <c r="AG120" s="375"/>
      <c r="AH120" s="375"/>
      <c r="AI120" s="375"/>
      <c r="AJ120" s="375"/>
      <c r="AK120" s="375"/>
    </row>
    <row r="121" spans="1:37">
      <c r="A121" s="507"/>
      <c r="B121" s="507"/>
      <c r="C121" s="375"/>
      <c r="D121" s="375"/>
      <c r="E121" s="375"/>
      <c r="F121" s="375"/>
      <c r="G121" s="375"/>
      <c r="H121" s="375"/>
      <c r="I121" s="375"/>
      <c r="J121" s="375"/>
      <c r="K121" s="375"/>
      <c r="L121" s="375"/>
      <c r="M121" s="375"/>
      <c r="N121" s="375"/>
      <c r="O121" s="375"/>
      <c r="P121" s="375"/>
      <c r="Q121" s="375"/>
      <c r="R121" s="375"/>
      <c r="U121" s="507"/>
      <c r="V121" s="375"/>
      <c r="W121" s="375"/>
      <c r="X121" s="375"/>
      <c r="Y121" s="375"/>
      <c r="Z121" s="375"/>
      <c r="AA121" s="375"/>
      <c r="AB121" s="375"/>
      <c r="AC121" s="375"/>
      <c r="AD121" s="375"/>
      <c r="AE121" s="375"/>
      <c r="AF121" s="375"/>
      <c r="AG121" s="375"/>
      <c r="AH121" s="375"/>
      <c r="AI121" s="375"/>
      <c r="AJ121" s="375"/>
      <c r="AK121" s="375"/>
    </row>
    <row r="122" spans="1:37">
      <c r="A122" s="508"/>
      <c r="B122" s="508"/>
      <c r="C122" s="375"/>
      <c r="D122" s="375"/>
      <c r="E122" s="375"/>
      <c r="F122" s="375"/>
      <c r="G122" s="375"/>
      <c r="H122" s="375"/>
      <c r="I122" s="375"/>
      <c r="J122" s="375"/>
      <c r="K122" s="375"/>
      <c r="L122" s="375"/>
      <c r="M122" s="375"/>
      <c r="N122" s="375"/>
      <c r="O122" s="375"/>
      <c r="P122" s="375"/>
      <c r="Q122" s="16"/>
      <c r="R122" s="375"/>
      <c r="U122" s="508"/>
      <c r="V122" s="375"/>
      <c r="W122" s="375"/>
      <c r="X122" s="375"/>
      <c r="Y122" s="375"/>
      <c r="Z122" s="375"/>
      <c r="AA122" s="375"/>
      <c r="AB122" s="375"/>
      <c r="AC122" s="375"/>
      <c r="AD122" s="375"/>
      <c r="AE122" s="375"/>
      <c r="AF122" s="375"/>
      <c r="AG122" s="375"/>
      <c r="AH122" s="375"/>
      <c r="AI122" s="375"/>
      <c r="AJ122" s="16"/>
      <c r="AK122" s="375"/>
    </row>
    <row r="123" spans="1:37">
      <c r="A123" s="375"/>
      <c r="B123" s="375"/>
      <c r="C123" s="375"/>
      <c r="D123" s="375"/>
      <c r="E123" s="375"/>
      <c r="F123" s="375"/>
      <c r="G123" s="375"/>
      <c r="H123" s="375"/>
      <c r="I123" s="375"/>
      <c r="J123" s="375"/>
      <c r="K123" s="375"/>
      <c r="L123" s="375"/>
      <c r="M123" s="375"/>
      <c r="N123" s="375"/>
      <c r="O123" s="375"/>
      <c r="P123" s="375"/>
      <c r="Q123" s="375"/>
      <c r="R123" s="375"/>
      <c r="U123" s="375"/>
      <c r="V123" s="375"/>
      <c r="W123" s="375"/>
      <c r="X123" s="375"/>
      <c r="Y123" s="375"/>
      <c r="Z123" s="375"/>
      <c r="AA123" s="375"/>
      <c r="AB123" s="375"/>
      <c r="AC123" s="375"/>
      <c r="AD123" s="375"/>
      <c r="AE123" s="375"/>
      <c r="AF123" s="375"/>
      <c r="AG123" s="375"/>
      <c r="AH123" s="375"/>
      <c r="AI123" s="375"/>
      <c r="AJ123" s="375"/>
      <c r="AK123" s="375"/>
    </row>
    <row r="124" spans="1:37">
      <c r="A124" s="375"/>
      <c r="B124" s="375"/>
      <c r="C124" s="375"/>
      <c r="D124" s="375"/>
      <c r="E124" s="375"/>
      <c r="F124" s="375"/>
      <c r="G124" s="375"/>
      <c r="H124" s="375"/>
      <c r="I124" s="375"/>
      <c r="J124" s="375"/>
      <c r="K124" s="375"/>
      <c r="L124" s="375"/>
      <c r="M124" s="375"/>
      <c r="N124" s="375"/>
      <c r="O124" s="375"/>
      <c r="P124" s="375"/>
      <c r="Q124" s="375"/>
      <c r="R124" s="375"/>
      <c r="U124" s="375"/>
      <c r="V124" s="375"/>
      <c r="W124" s="375"/>
      <c r="X124" s="375"/>
      <c r="Y124" s="375"/>
      <c r="Z124" s="375"/>
      <c r="AA124" s="375"/>
      <c r="AB124" s="375"/>
      <c r="AC124" s="375"/>
      <c r="AD124" s="375"/>
      <c r="AE124" s="375"/>
      <c r="AF124" s="375"/>
      <c r="AG124" s="375"/>
      <c r="AH124" s="375"/>
      <c r="AI124" s="375"/>
      <c r="AJ124" s="375"/>
      <c r="AK124" s="375"/>
    </row>
    <row r="125" spans="1:37">
      <c r="A125" s="375"/>
      <c r="B125" s="375"/>
      <c r="C125" s="375"/>
      <c r="D125" s="375"/>
      <c r="E125" s="375"/>
      <c r="F125" s="375"/>
      <c r="G125" s="375"/>
      <c r="H125" s="375"/>
      <c r="I125" s="375"/>
      <c r="J125" s="375"/>
      <c r="K125" s="375"/>
      <c r="L125" s="375"/>
      <c r="M125" s="375"/>
      <c r="N125" s="375"/>
      <c r="O125" s="375"/>
      <c r="P125" s="375"/>
      <c r="Q125" s="375"/>
      <c r="R125" s="375"/>
      <c r="U125" s="375"/>
      <c r="V125" s="375"/>
      <c r="W125" s="375"/>
      <c r="X125" s="375"/>
      <c r="Y125" s="375"/>
      <c r="Z125" s="375"/>
      <c r="AA125" s="375"/>
      <c r="AB125" s="375"/>
      <c r="AC125" s="375"/>
      <c r="AD125" s="375"/>
      <c r="AE125" s="375"/>
      <c r="AF125" s="375"/>
      <c r="AG125" s="375"/>
      <c r="AH125" s="375"/>
      <c r="AI125" s="375"/>
      <c r="AJ125" s="375"/>
      <c r="AK125" s="375"/>
    </row>
    <row r="126" spans="1:37">
      <c r="A126" s="506"/>
      <c r="B126" s="506"/>
      <c r="C126" s="375"/>
      <c r="D126" s="375"/>
      <c r="E126" s="375"/>
      <c r="F126" s="375"/>
      <c r="G126" s="375"/>
      <c r="H126" s="375"/>
      <c r="I126" s="375"/>
      <c r="J126" s="375"/>
      <c r="K126" s="375"/>
      <c r="L126" s="375"/>
      <c r="M126" s="375"/>
      <c r="N126" s="375"/>
      <c r="O126" s="375"/>
      <c r="P126" s="375"/>
      <c r="Q126" s="375"/>
      <c r="R126" s="375"/>
      <c r="U126" s="506"/>
      <c r="V126" s="375"/>
      <c r="W126" s="375"/>
      <c r="X126" s="375"/>
      <c r="Y126" s="375"/>
      <c r="Z126" s="375"/>
      <c r="AA126" s="375"/>
      <c r="AB126" s="375"/>
      <c r="AC126" s="375"/>
      <c r="AD126" s="375"/>
      <c r="AE126" s="375"/>
      <c r="AF126" s="375"/>
      <c r="AG126" s="375"/>
      <c r="AH126" s="375"/>
      <c r="AI126" s="375"/>
      <c r="AJ126" s="375"/>
      <c r="AK126" s="375"/>
    </row>
    <row r="127" spans="1:37">
      <c r="A127" s="375"/>
      <c r="B127" s="375"/>
      <c r="C127" s="375"/>
      <c r="D127" s="375"/>
      <c r="E127" s="375"/>
      <c r="F127" s="375"/>
      <c r="G127" s="375"/>
      <c r="H127" s="375"/>
      <c r="I127" s="375"/>
      <c r="J127" s="375"/>
      <c r="K127" s="375"/>
      <c r="L127" s="375"/>
      <c r="M127" s="375"/>
      <c r="N127" s="375"/>
      <c r="O127" s="375"/>
      <c r="P127" s="375"/>
      <c r="Q127" s="375"/>
      <c r="R127" s="375"/>
      <c r="U127" s="375"/>
      <c r="V127" s="375"/>
      <c r="W127" s="375"/>
      <c r="X127" s="375"/>
      <c r="Y127" s="375"/>
      <c r="Z127" s="375"/>
      <c r="AA127" s="375"/>
      <c r="AB127" s="375"/>
      <c r="AC127" s="375"/>
      <c r="AD127" s="375"/>
      <c r="AE127" s="375"/>
      <c r="AF127" s="375"/>
      <c r="AG127" s="375"/>
      <c r="AH127" s="375"/>
      <c r="AI127" s="375"/>
      <c r="AJ127" s="375"/>
      <c r="AK127" s="375"/>
    </row>
    <row r="128" spans="1:37">
      <c r="A128" s="375"/>
      <c r="B128" s="375"/>
      <c r="C128" s="375"/>
      <c r="D128" s="375"/>
      <c r="E128" s="375"/>
      <c r="F128" s="375"/>
      <c r="G128" s="375"/>
      <c r="H128" s="375"/>
      <c r="I128" s="375"/>
      <c r="J128" s="375"/>
      <c r="K128" s="375"/>
      <c r="L128" s="375"/>
      <c r="M128" s="375"/>
      <c r="N128" s="375"/>
      <c r="O128" s="375"/>
      <c r="P128" s="375"/>
      <c r="Q128" s="16"/>
      <c r="R128" s="375"/>
      <c r="U128" s="375"/>
      <c r="V128" s="375"/>
      <c r="W128" s="375"/>
      <c r="X128" s="375"/>
      <c r="Y128" s="375"/>
      <c r="Z128" s="375"/>
      <c r="AA128" s="375"/>
      <c r="AB128" s="375"/>
      <c r="AC128" s="375"/>
      <c r="AD128" s="375"/>
      <c r="AE128" s="375"/>
      <c r="AF128" s="375"/>
      <c r="AG128" s="375"/>
      <c r="AH128" s="375"/>
      <c r="AI128" s="375"/>
      <c r="AJ128" s="16"/>
      <c r="AK128" s="375"/>
    </row>
    <row r="129" spans="1:37">
      <c r="A129" s="375"/>
      <c r="B129" s="375"/>
      <c r="C129" s="375"/>
      <c r="D129" s="375"/>
      <c r="E129" s="375"/>
      <c r="F129" s="375"/>
      <c r="G129" s="375"/>
      <c r="H129" s="375"/>
      <c r="I129" s="375"/>
      <c r="J129" s="375"/>
      <c r="K129" s="375"/>
      <c r="L129" s="375"/>
      <c r="M129" s="375"/>
      <c r="N129" s="375"/>
      <c r="O129" s="375"/>
      <c r="P129" s="375"/>
      <c r="Q129" s="375"/>
      <c r="R129" s="375"/>
      <c r="U129" s="375"/>
      <c r="V129" s="375"/>
      <c r="W129" s="375"/>
      <c r="X129" s="375"/>
      <c r="Y129" s="375"/>
      <c r="Z129" s="375"/>
      <c r="AA129" s="375"/>
      <c r="AB129" s="375"/>
      <c r="AC129" s="375"/>
      <c r="AD129" s="375"/>
      <c r="AE129" s="375"/>
      <c r="AF129" s="375"/>
      <c r="AG129" s="375"/>
      <c r="AH129" s="375"/>
      <c r="AI129" s="375"/>
      <c r="AJ129" s="375"/>
      <c r="AK129" s="375"/>
    </row>
    <row r="130" spans="1:37">
      <c r="A130" s="375"/>
      <c r="B130" s="375"/>
      <c r="C130" s="375"/>
      <c r="D130" s="375"/>
      <c r="E130" s="375"/>
      <c r="F130" s="375"/>
      <c r="G130" s="375"/>
      <c r="H130" s="375"/>
      <c r="I130" s="375"/>
      <c r="J130" s="375"/>
      <c r="K130" s="375"/>
      <c r="L130" s="375"/>
      <c r="M130" s="375"/>
      <c r="N130" s="375"/>
      <c r="O130" s="375"/>
      <c r="P130" s="375"/>
      <c r="Q130" s="375"/>
      <c r="R130" s="375"/>
      <c r="U130" s="375"/>
      <c r="V130" s="375"/>
      <c r="W130" s="375"/>
      <c r="X130" s="375"/>
      <c r="Y130" s="375"/>
      <c r="Z130" s="375"/>
      <c r="AA130" s="375"/>
      <c r="AB130" s="375"/>
      <c r="AC130" s="375"/>
      <c r="AD130" s="375"/>
      <c r="AE130" s="375"/>
      <c r="AF130" s="375"/>
      <c r="AG130" s="375"/>
      <c r="AH130" s="375"/>
      <c r="AI130" s="375"/>
      <c r="AJ130" s="375"/>
      <c r="AK130" s="375"/>
    </row>
    <row r="131" spans="1:37">
      <c r="A131" s="375"/>
      <c r="B131" s="375"/>
      <c r="C131" s="375"/>
      <c r="D131" s="375"/>
      <c r="E131" s="375"/>
      <c r="F131" s="375"/>
      <c r="G131" s="375"/>
      <c r="H131" s="375"/>
      <c r="I131" s="375"/>
      <c r="J131" s="375"/>
      <c r="K131" s="375"/>
      <c r="L131" s="375"/>
      <c r="M131" s="375"/>
      <c r="N131" s="375"/>
      <c r="O131" s="375"/>
      <c r="P131" s="375"/>
      <c r="Q131" s="375"/>
      <c r="R131" s="375"/>
      <c r="U131" s="375"/>
      <c r="V131" s="375"/>
      <c r="W131" s="375"/>
      <c r="X131" s="375"/>
      <c r="Y131" s="375"/>
      <c r="Z131" s="375"/>
      <c r="AA131" s="375"/>
      <c r="AB131" s="375"/>
      <c r="AC131" s="375"/>
      <c r="AD131" s="375"/>
      <c r="AE131" s="375"/>
      <c r="AF131" s="375"/>
      <c r="AG131" s="375"/>
      <c r="AH131" s="375"/>
      <c r="AI131" s="375"/>
      <c r="AJ131" s="375"/>
      <c r="AK131" s="375"/>
    </row>
    <row r="132" spans="1:37">
      <c r="A132" s="506"/>
      <c r="B132" s="506"/>
      <c r="C132" s="375"/>
      <c r="D132" s="375"/>
      <c r="E132" s="375"/>
      <c r="F132" s="375"/>
      <c r="G132" s="375"/>
      <c r="H132" s="375"/>
      <c r="I132" s="375"/>
      <c r="J132" s="375"/>
      <c r="K132" s="375"/>
      <c r="L132" s="375"/>
      <c r="M132" s="375"/>
      <c r="N132" s="375"/>
      <c r="O132" s="375"/>
      <c r="P132" s="375"/>
      <c r="Q132" s="375"/>
      <c r="R132" s="375"/>
      <c r="U132" s="506"/>
      <c r="V132" s="375"/>
      <c r="W132" s="375"/>
      <c r="X132" s="375"/>
      <c r="Y132" s="375"/>
      <c r="Z132" s="375"/>
      <c r="AA132" s="375"/>
      <c r="AB132" s="375"/>
      <c r="AC132" s="375"/>
      <c r="AD132" s="375"/>
      <c r="AE132" s="375"/>
      <c r="AF132" s="375"/>
      <c r="AG132" s="375"/>
      <c r="AH132" s="375"/>
      <c r="AI132" s="375"/>
      <c r="AJ132" s="375"/>
      <c r="AK132" s="375"/>
    </row>
    <row r="133" spans="1:37">
      <c r="A133" s="375"/>
      <c r="B133" s="375"/>
      <c r="C133" s="375"/>
      <c r="D133" s="375"/>
      <c r="E133" s="375"/>
      <c r="F133" s="375"/>
      <c r="G133" s="375"/>
      <c r="H133" s="375"/>
      <c r="I133" s="375"/>
      <c r="J133" s="375"/>
      <c r="K133" s="375"/>
      <c r="L133" s="375"/>
      <c r="M133" s="375"/>
      <c r="N133" s="375"/>
      <c r="O133" s="375"/>
      <c r="P133" s="375"/>
      <c r="Q133" s="375"/>
      <c r="R133" s="375"/>
      <c r="U133" s="375"/>
      <c r="V133" s="375"/>
      <c r="W133" s="375"/>
      <c r="X133" s="375"/>
      <c r="Y133" s="375"/>
      <c r="Z133" s="375"/>
      <c r="AA133" s="375"/>
      <c r="AB133" s="375"/>
      <c r="AC133" s="375"/>
      <c r="AD133" s="375"/>
      <c r="AE133" s="375"/>
      <c r="AF133" s="375"/>
      <c r="AG133" s="375"/>
      <c r="AH133" s="375"/>
      <c r="AI133" s="375"/>
      <c r="AJ133" s="375"/>
      <c r="AK133" s="375"/>
    </row>
    <row r="134" spans="1:37">
      <c r="A134" s="375"/>
      <c r="B134" s="375"/>
      <c r="C134" s="375"/>
      <c r="D134" s="375"/>
      <c r="E134" s="375"/>
      <c r="F134" s="375"/>
      <c r="G134" s="375"/>
      <c r="H134" s="375"/>
      <c r="I134" s="375"/>
      <c r="J134" s="375"/>
      <c r="K134" s="375"/>
      <c r="L134" s="375"/>
      <c r="M134" s="375"/>
      <c r="N134" s="375"/>
      <c r="O134" s="375"/>
      <c r="P134" s="375"/>
      <c r="Q134" s="16"/>
      <c r="R134" s="375"/>
      <c r="U134" s="375"/>
      <c r="V134" s="375"/>
      <c r="W134" s="375"/>
      <c r="X134" s="375"/>
      <c r="Y134" s="375"/>
      <c r="Z134" s="375"/>
      <c r="AA134" s="375"/>
      <c r="AB134" s="375"/>
      <c r="AC134" s="375"/>
      <c r="AD134" s="375"/>
      <c r="AE134" s="375"/>
      <c r="AF134" s="375"/>
      <c r="AG134" s="375"/>
      <c r="AH134" s="375"/>
      <c r="AI134" s="375"/>
      <c r="AJ134" s="16"/>
      <c r="AK134" s="375"/>
    </row>
    <row r="135" spans="1:37">
      <c r="A135" s="375"/>
      <c r="B135" s="375"/>
      <c r="C135" s="375"/>
      <c r="D135" s="375"/>
      <c r="E135" s="375"/>
      <c r="F135" s="375"/>
      <c r="G135" s="375"/>
      <c r="H135" s="375"/>
      <c r="I135" s="375"/>
      <c r="J135" s="375"/>
      <c r="K135" s="375"/>
      <c r="L135" s="375"/>
      <c r="M135" s="375"/>
      <c r="N135" s="375"/>
      <c r="O135" s="375"/>
      <c r="P135" s="375"/>
      <c r="Q135" s="375"/>
      <c r="R135" s="375"/>
      <c r="U135" s="375"/>
      <c r="V135" s="375"/>
      <c r="W135" s="375"/>
      <c r="X135" s="375"/>
      <c r="Y135" s="375"/>
      <c r="Z135" s="375"/>
      <c r="AA135" s="375"/>
      <c r="AB135" s="375"/>
      <c r="AC135" s="375"/>
      <c r="AD135" s="375"/>
      <c r="AE135" s="375"/>
      <c r="AF135" s="375"/>
      <c r="AG135" s="375"/>
      <c r="AH135" s="375"/>
      <c r="AI135" s="375"/>
      <c r="AJ135" s="375"/>
      <c r="AK135" s="375"/>
    </row>
    <row r="136" spans="1:37">
      <c r="A136" s="375"/>
      <c r="B136" s="375"/>
      <c r="C136" s="375"/>
      <c r="D136" s="375"/>
      <c r="E136" s="375"/>
      <c r="F136" s="375"/>
      <c r="G136" s="375"/>
      <c r="H136" s="375"/>
      <c r="I136" s="375"/>
      <c r="J136" s="375"/>
      <c r="K136" s="375"/>
      <c r="L136" s="375"/>
      <c r="M136" s="375"/>
      <c r="N136" s="375"/>
      <c r="O136" s="375"/>
      <c r="P136" s="375"/>
      <c r="Q136" s="375"/>
      <c r="R136" s="375"/>
      <c r="U136" s="375"/>
      <c r="V136" s="375"/>
      <c r="W136" s="375"/>
      <c r="X136" s="375"/>
      <c r="Y136" s="375"/>
      <c r="Z136" s="375"/>
      <c r="AA136" s="375"/>
      <c r="AB136" s="375"/>
      <c r="AC136" s="375"/>
      <c r="AD136" s="375"/>
      <c r="AE136" s="375"/>
      <c r="AF136" s="375"/>
      <c r="AG136" s="375"/>
      <c r="AH136" s="375"/>
      <c r="AI136" s="375"/>
      <c r="AJ136" s="375"/>
      <c r="AK136" s="375"/>
    </row>
    <row r="137" spans="1:37">
      <c r="A137" s="375"/>
      <c r="B137" s="375"/>
      <c r="C137" s="375"/>
      <c r="D137" s="375"/>
      <c r="E137" s="375"/>
      <c r="F137" s="375"/>
      <c r="G137" s="375"/>
      <c r="H137" s="375"/>
      <c r="I137" s="375"/>
      <c r="J137" s="375"/>
      <c r="K137" s="375"/>
      <c r="L137" s="375"/>
      <c r="M137" s="375"/>
      <c r="N137" s="375"/>
      <c r="O137" s="375"/>
      <c r="P137" s="375"/>
      <c r="Q137" s="375"/>
      <c r="R137" s="375"/>
      <c r="U137" s="375"/>
      <c r="V137" s="375"/>
      <c r="W137" s="375"/>
      <c r="X137" s="375"/>
      <c r="Y137" s="375"/>
      <c r="Z137" s="375"/>
      <c r="AA137" s="375"/>
      <c r="AB137" s="375"/>
      <c r="AC137" s="375"/>
      <c r="AD137" s="375"/>
      <c r="AE137" s="375"/>
      <c r="AF137" s="375"/>
      <c r="AG137" s="375"/>
      <c r="AH137" s="375"/>
      <c r="AI137" s="375"/>
      <c r="AJ137" s="375"/>
      <c r="AK137" s="375"/>
    </row>
    <row r="138" spans="1:37">
      <c r="A138" s="506"/>
      <c r="B138" s="506"/>
      <c r="C138" s="375"/>
      <c r="D138" s="375"/>
      <c r="E138" s="375"/>
      <c r="F138" s="375"/>
      <c r="G138" s="375"/>
      <c r="H138" s="375"/>
      <c r="I138" s="375"/>
      <c r="J138" s="375"/>
      <c r="K138" s="375"/>
      <c r="L138" s="375"/>
      <c r="M138" s="375"/>
      <c r="N138" s="375"/>
      <c r="O138" s="375"/>
      <c r="P138" s="375"/>
      <c r="Q138" s="375"/>
      <c r="R138" s="375"/>
      <c r="U138" s="506"/>
      <c r="V138" s="375"/>
      <c r="W138" s="375"/>
      <c r="X138" s="375"/>
      <c r="Y138" s="375"/>
      <c r="Z138" s="375"/>
      <c r="AA138" s="375"/>
      <c r="AB138" s="375"/>
      <c r="AC138" s="375"/>
      <c r="AD138" s="375"/>
      <c r="AE138" s="375"/>
      <c r="AF138" s="375"/>
      <c r="AG138" s="375"/>
      <c r="AH138" s="375"/>
      <c r="AI138" s="375"/>
      <c r="AJ138" s="375"/>
      <c r="AK138" s="375"/>
    </row>
    <row r="139" spans="1:37">
      <c r="A139" s="375"/>
      <c r="B139" s="375"/>
      <c r="C139" s="375"/>
      <c r="D139" s="375"/>
      <c r="E139" s="375"/>
      <c r="F139" s="375"/>
      <c r="G139" s="375"/>
      <c r="H139" s="375"/>
      <c r="I139" s="375"/>
      <c r="J139" s="375"/>
      <c r="K139" s="375"/>
      <c r="L139" s="375"/>
      <c r="M139" s="375"/>
      <c r="N139" s="375"/>
      <c r="O139" s="375"/>
      <c r="P139" s="375"/>
      <c r="Q139" s="375"/>
      <c r="R139" s="375"/>
      <c r="U139" s="375"/>
      <c r="V139" s="375"/>
      <c r="W139" s="375"/>
      <c r="X139" s="375"/>
      <c r="Y139" s="375"/>
      <c r="Z139" s="375"/>
      <c r="AA139" s="375"/>
      <c r="AB139" s="375"/>
      <c r="AC139" s="375"/>
      <c r="AD139" s="375"/>
      <c r="AE139" s="375"/>
      <c r="AF139" s="375"/>
      <c r="AG139" s="375"/>
      <c r="AH139" s="375"/>
      <c r="AI139" s="375"/>
      <c r="AJ139" s="375"/>
      <c r="AK139" s="375"/>
    </row>
    <row r="140" spans="1:37">
      <c r="A140" s="375"/>
      <c r="B140" s="375"/>
      <c r="C140" s="375"/>
      <c r="D140" s="375"/>
      <c r="E140" s="375"/>
      <c r="F140" s="375"/>
      <c r="G140" s="375"/>
      <c r="H140" s="375"/>
      <c r="I140" s="375"/>
      <c r="J140" s="375"/>
      <c r="K140" s="375"/>
      <c r="L140" s="375"/>
      <c r="M140" s="375"/>
      <c r="N140" s="375"/>
      <c r="O140" s="375"/>
      <c r="P140" s="375"/>
      <c r="Q140" s="16"/>
      <c r="R140" s="375"/>
      <c r="U140" s="375"/>
      <c r="V140" s="375"/>
      <c r="W140" s="375"/>
      <c r="X140" s="375"/>
      <c r="Y140" s="375"/>
      <c r="Z140" s="375"/>
      <c r="AA140" s="375"/>
      <c r="AB140" s="375"/>
      <c r="AC140" s="375"/>
      <c r="AD140" s="375"/>
      <c r="AE140" s="375"/>
      <c r="AF140" s="375"/>
      <c r="AG140" s="375"/>
      <c r="AH140" s="375"/>
      <c r="AI140" s="375"/>
      <c r="AJ140" s="16"/>
      <c r="AK140" s="375"/>
    </row>
    <row r="141" spans="1:37">
      <c r="A141" s="375"/>
      <c r="B141" s="375"/>
      <c r="C141" s="375"/>
      <c r="D141" s="375"/>
      <c r="E141" s="375"/>
      <c r="F141" s="375"/>
      <c r="G141" s="375"/>
      <c r="H141" s="375"/>
      <c r="I141" s="375"/>
      <c r="J141" s="375"/>
      <c r="K141" s="375"/>
      <c r="L141" s="375"/>
      <c r="M141" s="375"/>
      <c r="N141" s="375"/>
      <c r="O141" s="375"/>
      <c r="P141" s="375"/>
      <c r="Q141" s="375"/>
      <c r="R141" s="375"/>
      <c r="U141" s="375"/>
      <c r="V141" s="375"/>
      <c r="W141" s="375"/>
      <c r="X141" s="375"/>
      <c r="Y141" s="375"/>
      <c r="Z141" s="375"/>
      <c r="AA141" s="375"/>
      <c r="AB141" s="375"/>
      <c r="AC141" s="375"/>
      <c r="AD141" s="375"/>
      <c r="AE141" s="375"/>
      <c r="AF141" s="375"/>
      <c r="AG141" s="375"/>
      <c r="AH141" s="375"/>
      <c r="AI141" s="375"/>
      <c r="AJ141" s="375"/>
      <c r="AK141" s="375"/>
    </row>
    <row r="142" spans="1:37">
      <c r="A142" s="375"/>
      <c r="B142" s="375"/>
      <c r="C142" s="375"/>
      <c r="D142" s="375"/>
      <c r="E142" s="375"/>
      <c r="F142" s="375"/>
      <c r="G142" s="375"/>
      <c r="H142" s="375"/>
      <c r="I142" s="375"/>
      <c r="J142" s="375"/>
      <c r="K142" s="375"/>
      <c r="L142" s="375"/>
      <c r="M142" s="375"/>
      <c r="N142" s="375"/>
      <c r="O142" s="375"/>
      <c r="P142" s="375"/>
      <c r="Q142" s="375"/>
      <c r="R142" s="375"/>
      <c r="U142" s="375"/>
      <c r="V142" s="375"/>
      <c r="W142" s="375"/>
      <c r="X142" s="375"/>
      <c r="Y142" s="375"/>
      <c r="Z142" s="375"/>
      <c r="AA142" s="375"/>
      <c r="AB142" s="375"/>
      <c r="AC142" s="375"/>
      <c r="AD142" s="375"/>
      <c r="AE142" s="375"/>
      <c r="AF142" s="375"/>
      <c r="AG142" s="375"/>
      <c r="AH142" s="375"/>
      <c r="AI142" s="375"/>
      <c r="AJ142" s="375"/>
      <c r="AK142" s="375"/>
    </row>
    <row r="143" spans="1:37">
      <c r="A143" s="375"/>
      <c r="B143" s="375"/>
      <c r="C143" s="375"/>
      <c r="D143" s="375"/>
      <c r="E143" s="375"/>
      <c r="F143" s="375"/>
      <c r="G143" s="375"/>
      <c r="H143" s="375"/>
      <c r="I143" s="375"/>
      <c r="J143" s="375"/>
      <c r="K143" s="375"/>
      <c r="L143" s="375"/>
      <c r="M143" s="375"/>
      <c r="N143" s="375"/>
      <c r="O143" s="375"/>
      <c r="P143" s="375"/>
      <c r="Q143" s="375"/>
      <c r="R143" s="375"/>
      <c r="U143" s="375"/>
      <c r="V143" s="375"/>
      <c r="W143" s="375"/>
      <c r="X143" s="375"/>
      <c r="Y143" s="375"/>
      <c r="Z143" s="375"/>
      <c r="AA143" s="375"/>
      <c r="AB143" s="375"/>
      <c r="AC143" s="375"/>
      <c r="AD143" s="375"/>
      <c r="AE143" s="375"/>
      <c r="AF143" s="375"/>
      <c r="AG143" s="375"/>
      <c r="AH143" s="375"/>
      <c r="AI143" s="375"/>
      <c r="AJ143" s="375"/>
      <c r="AK143" s="375"/>
    </row>
    <row r="144" spans="1:37">
      <c r="A144" s="506"/>
      <c r="B144" s="506"/>
      <c r="C144" s="375"/>
      <c r="D144" s="375"/>
      <c r="E144" s="375"/>
      <c r="F144" s="375"/>
      <c r="G144" s="375"/>
      <c r="H144" s="375"/>
      <c r="I144" s="375"/>
      <c r="J144" s="375"/>
      <c r="K144" s="375"/>
      <c r="L144" s="375"/>
      <c r="M144" s="375"/>
      <c r="N144" s="375"/>
      <c r="O144" s="375"/>
      <c r="P144" s="375"/>
      <c r="Q144" s="375"/>
      <c r="R144" s="375"/>
      <c r="U144" s="506"/>
      <c r="V144" s="375"/>
      <c r="W144" s="375"/>
      <c r="X144" s="375"/>
      <c r="Y144" s="375"/>
      <c r="Z144" s="375"/>
      <c r="AA144" s="375"/>
      <c r="AB144" s="375"/>
      <c r="AC144" s="375"/>
      <c r="AD144" s="375"/>
      <c r="AE144" s="375"/>
      <c r="AF144" s="375"/>
      <c r="AG144" s="375"/>
      <c r="AH144" s="375"/>
      <c r="AI144" s="375"/>
      <c r="AJ144" s="375"/>
      <c r="AK144" s="375"/>
    </row>
    <row r="145" spans="1:37">
      <c r="A145" s="375"/>
      <c r="B145" s="375"/>
      <c r="C145" s="375"/>
      <c r="D145" s="375"/>
      <c r="E145" s="375"/>
      <c r="F145" s="375"/>
      <c r="G145" s="375"/>
      <c r="H145" s="375"/>
      <c r="I145" s="375"/>
      <c r="J145" s="375"/>
      <c r="K145" s="375"/>
      <c r="L145" s="375"/>
      <c r="M145" s="375"/>
      <c r="N145" s="375"/>
      <c r="O145" s="375"/>
      <c r="P145" s="375"/>
      <c r="Q145" s="375"/>
      <c r="R145" s="375"/>
      <c r="U145" s="375"/>
      <c r="V145" s="375"/>
      <c r="W145" s="375"/>
      <c r="X145" s="375"/>
      <c r="Y145" s="375"/>
      <c r="Z145" s="375"/>
      <c r="AA145" s="375"/>
      <c r="AB145" s="375"/>
      <c r="AC145" s="375"/>
      <c r="AD145" s="375"/>
      <c r="AE145" s="375"/>
      <c r="AF145" s="375"/>
      <c r="AG145" s="375"/>
      <c r="AH145" s="375"/>
      <c r="AI145" s="375"/>
      <c r="AJ145" s="375"/>
      <c r="AK145" s="375"/>
    </row>
    <row r="146" spans="1:37">
      <c r="A146" s="375"/>
      <c r="B146" s="375"/>
      <c r="C146" s="375"/>
      <c r="D146" s="375"/>
      <c r="E146" s="375"/>
      <c r="F146" s="375"/>
      <c r="G146" s="375"/>
      <c r="H146" s="375"/>
      <c r="I146" s="375"/>
      <c r="J146" s="375"/>
      <c r="K146" s="375"/>
      <c r="L146" s="375"/>
      <c r="M146" s="375"/>
      <c r="N146" s="375"/>
      <c r="O146" s="375"/>
      <c r="P146" s="375"/>
      <c r="Q146" s="16"/>
      <c r="R146" s="375"/>
      <c r="U146" s="375"/>
      <c r="V146" s="375"/>
      <c r="W146" s="375"/>
      <c r="X146" s="375"/>
      <c r="Y146" s="375"/>
      <c r="Z146" s="375"/>
      <c r="AA146" s="375"/>
      <c r="AB146" s="375"/>
      <c r="AC146" s="375"/>
      <c r="AD146" s="375"/>
      <c r="AE146" s="375"/>
      <c r="AF146" s="375"/>
      <c r="AG146" s="375"/>
      <c r="AH146" s="375"/>
      <c r="AI146" s="375"/>
      <c r="AJ146" s="16"/>
      <c r="AK146" s="375"/>
    </row>
    <row r="147" spans="1:37">
      <c r="A147" s="375"/>
      <c r="B147" s="375"/>
      <c r="C147" s="375"/>
      <c r="D147" s="375"/>
      <c r="E147" s="375"/>
      <c r="F147" s="375"/>
      <c r="G147" s="375"/>
      <c r="H147" s="375"/>
      <c r="I147" s="375"/>
      <c r="J147" s="375"/>
      <c r="K147" s="375"/>
      <c r="L147" s="375"/>
      <c r="M147" s="375"/>
      <c r="N147" s="375"/>
      <c r="O147" s="375"/>
      <c r="P147" s="375"/>
      <c r="Q147" s="375"/>
      <c r="R147" s="375"/>
      <c r="U147" s="375"/>
      <c r="V147" s="375"/>
      <c r="W147" s="375"/>
      <c r="X147" s="375"/>
      <c r="Y147" s="375"/>
      <c r="Z147" s="375"/>
      <c r="AA147" s="375"/>
      <c r="AB147" s="375"/>
      <c r="AC147" s="375"/>
      <c r="AD147" s="375"/>
      <c r="AE147" s="375"/>
      <c r="AF147" s="375"/>
      <c r="AG147" s="375"/>
      <c r="AH147" s="375"/>
      <c r="AI147" s="375"/>
      <c r="AJ147" s="375"/>
      <c r="AK147" s="375"/>
    </row>
    <row r="148" spans="1:37">
      <c r="A148" s="375"/>
      <c r="B148" s="375"/>
      <c r="C148" s="375"/>
      <c r="D148" s="375"/>
      <c r="E148" s="375"/>
      <c r="F148" s="375"/>
      <c r="G148" s="375"/>
      <c r="H148" s="375"/>
      <c r="I148" s="375"/>
      <c r="J148" s="375"/>
      <c r="K148" s="375"/>
      <c r="L148" s="375"/>
      <c r="M148" s="375"/>
      <c r="N148" s="375"/>
      <c r="O148" s="375"/>
      <c r="P148" s="375"/>
      <c r="Q148" s="375"/>
      <c r="R148" s="375"/>
      <c r="U148" s="375"/>
      <c r="V148" s="375"/>
      <c r="W148" s="375"/>
      <c r="X148" s="375"/>
      <c r="Y148" s="375"/>
      <c r="Z148" s="375"/>
      <c r="AA148" s="375"/>
      <c r="AB148" s="375"/>
      <c r="AC148" s="375"/>
      <c r="AD148" s="375"/>
      <c r="AE148" s="375"/>
      <c r="AF148" s="375"/>
      <c r="AG148" s="375"/>
      <c r="AH148" s="375"/>
      <c r="AI148" s="375"/>
      <c r="AJ148" s="375"/>
      <c r="AK148" s="375"/>
    </row>
    <row r="149" spans="1:37">
      <c r="A149" s="375"/>
      <c r="B149" s="375"/>
      <c r="C149" s="375"/>
      <c r="D149" s="375"/>
      <c r="E149" s="375"/>
      <c r="F149" s="375"/>
      <c r="G149" s="375"/>
      <c r="H149" s="375"/>
      <c r="I149" s="375"/>
      <c r="J149" s="375"/>
      <c r="K149" s="375"/>
      <c r="L149" s="375"/>
      <c r="M149" s="375"/>
      <c r="N149" s="375"/>
      <c r="O149" s="375"/>
      <c r="P149" s="375"/>
      <c r="Q149" s="375"/>
      <c r="R149" s="375"/>
      <c r="U149" s="375"/>
      <c r="V149" s="375"/>
      <c r="W149" s="375"/>
      <c r="X149" s="375"/>
      <c r="Y149" s="375"/>
      <c r="Z149" s="375"/>
      <c r="AA149" s="375"/>
      <c r="AB149" s="375"/>
      <c r="AC149" s="375"/>
      <c r="AD149" s="375"/>
      <c r="AE149" s="375"/>
      <c r="AF149" s="375"/>
      <c r="AG149" s="375"/>
      <c r="AH149" s="375"/>
      <c r="AI149" s="375"/>
      <c r="AJ149" s="375"/>
      <c r="AK149" s="375"/>
    </row>
    <row r="150" spans="1:37">
      <c r="A150" s="506"/>
      <c r="B150" s="506"/>
      <c r="C150" s="375"/>
      <c r="D150" s="375"/>
      <c r="E150" s="375"/>
      <c r="F150" s="375"/>
      <c r="G150" s="375"/>
      <c r="H150" s="375"/>
      <c r="I150" s="375"/>
      <c r="J150" s="375"/>
      <c r="K150" s="375"/>
      <c r="L150" s="375"/>
      <c r="M150" s="375"/>
      <c r="N150" s="375"/>
      <c r="O150" s="375"/>
      <c r="P150" s="375"/>
      <c r="Q150" s="375"/>
      <c r="R150" s="375"/>
      <c r="U150" s="506"/>
      <c r="V150" s="375"/>
      <c r="W150" s="375"/>
      <c r="X150" s="375"/>
      <c r="Y150" s="375"/>
      <c r="Z150" s="375"/>
      <c r="AA150" s="375"/>
      <c r="AB150" s="375"/>
      <c r="AC150" s="375"/>
      <c r="AD150" s="375"/>
      <c r="AE150" s="375"/>
      <c r="AF150" s="375"/>
      <c r="AG150" s="375"/>
      <c r="AH150" s="375"/>
      <c r="AI150" s="375"/>
      <c r="AJ150" s="375"/>
      <c r="AK150" s="375"/>
    </row>
    <row r="151" spans="1:37">
      <c r="A151" s="375"/>
      <c r="B151" s="375"/>
      <c r="C151" s="375"/>
      <c r="D151" s="375"/>
      <c r="E151" s="375"/>
      <c r="F151" s="375"/>
      <c r="G151" s="375"/>
      <c r="H151" s="375"/>
      <c r="I151" s="375"/>
      <c r="J151" s="375"/>
      <c r="K151" s="375"/>
      <c r="L151" s="375"/>
      <c r="M151" s="375"/>
      <c r="N151" s="375"/>
      <c r="O151" s="375"/>
      <c r="P151" s="375"/>
      <c r="Q151" s="375"/>
      <c r="R151" s="375"/>
      <c r="U151" s="375"/>
      <c r="V151" s="375"/>
      <c r="W151" s="375"/>
      <c r="X151" s="375"/>
      <c r="Y151" s="375"/>
      <c r="Z151" s="375"/>
      <c r="AA151" s="375"/>
      <c r="AB151" s="375"/>
      <c r="AC151" s="375"/>
      <c r="AD151" s="375"/>
      <c r="AE151" s="375"/>
      <c r="AF151" s="375"/>
      <c r="AG151" s="375"/>
      <c r="AH151" s="375"/>
      <c r="AI151" s="375"/>
      <c r="AJ151" s="375"/>
      <c r="AK151" s="375"/>
    </row>
    <row r="152" spans="1:37">
      <c r="A152" s="375"/>
      <c r="B152" s="375"/>
      <c r="C152" s="375"/>
      <c r="D152" s="375"/>
      <c r="E152" s="375"/>
      <c r="F152" s="375"/>
      <c r="G152" s="375"/>
      <c r="H152" s="375"/>
      <c r="I152" s="375"/>
      <c r="J152" s="375"/>
      <c r="K152" s="375"/>
      <c r="L152" s="375"/>
      <c r="M152" s="375"/>
      <c r="N152" s="375"/>
      <c r="O152" s="375"/>
      <c r="P152" s="375"/>
      <c r="Q152" s="16"/>
      <c r="R152" s="375"/>
      <c r="U152" s="375"/>
      <c r="V152" s="375"/>
      <c r="W152" s="375"/>
      <c r="X152" s="375"/>
      <c r="Y152" s="375"/>
      <c r="Z152" s="375"/>
      <c r="AA152" s="375"/>
      <c r="AB152" s="375"/>
      <c r="AC152" s="375"/>
      <c r="AD152" s="375"/>
      <c r="AE152" s="375"/>
      <c r="AF152" s="375"/>
      <c r="AG152" s="375"/>
      <c r="AH152" s="375"/>
      <c r="AI152" s="375"/>
      <c r="AJ152" s="16"/>
      <c r="AK152" s="375"/>
    </row>
    <row r="153" spans="1:37">
      <c r="A153" s="375"/>
      <c r="B153" s="375"/>
      <c r="C153" s="375"/>
      <c r="D153" s="375"/>
      <c r="E153" s="375"/>
      <c r="F153" s="375"/>
      <c r="G153" s="375"/>
      <c r="H153" s="375"/>
      <c r="I153" s="375"/>
      <c r="J153" s="375"/>
      <c r="K153" s="375"/>
      <c r="L153" s="375"/>
      <c r="M153" s="375"/>
      <c r="N153" s="375"/>
      <c r="O153" s="375"/>
      <c r="P153" s="375"/>
      <c r="Q153" s="375"/>
      <c r="R153" s="375"/>
      <c r="U153" s="375"/>
      <c r="V153" s="375"/>
      <c r="W153" s="375"/>
      <c r="X153" s="375"/>
      <c r="Y153" s="375"/>
      <c r="Z153" s="375"/>
      <c r="AA153" s="375"/>
      <c r="AB153" s="375"/>
      <c r="AC153" s="375"/>
      <c r="AD153" s="375"/>
      <c r="AE153" s="375"/>
      <c r="AF153" s="375"/>
      <c r="AG153" s="375"/>
      <c r="AH153" s="375"/>
      <c r="AI153" s="375"/>
      <c r="AJ153" s="375"/>
      <c r="AK153" s="375"/>
    </row>
    <row r="154" spans="1:37">
      <c r="A154" s="375"/>
      <c r="B154" s="375"/>
      <c r="C154" s="375"/>
      <c r="D154" s="375"/>
      <c r="E154" s="375"/>
      <c r="F154" s="375"/>
      <c r="G154" s="375"/>
      <c r="H154" s="375"/>
      <c r="I154" s="375"/>
      <c r="J154" s="375"/>
      <c r="K154" s="375"/>
      <c r="L154" s="375"/>
      <c r="M154" s="375"/>
      <c r="N154" s="375"/>
      <c r="O154" s="375"/>
      <c r="P154" s="375"/>
      <c r="Q154" s="375"/>
      <c r="R154" s="375"/>
      <c r="U154" s="375"/>
      <c r="V154" s="375"/>
      <c r="W154" s="375"/>
      <c r="X154" s="375"/>
      <c r="Y154" s="375"/>
      <c r="Z154" s="375"/>
      <c r="AA154" s="375"/>
      <c r="AB154" s="375"/>
      <c r="AC154" s="375"/>
      <c r="AD154" s="375"/>
      <c r="AE154" s="375"/>
      <c r="AF154" s="375"/>
      <c r="AG154" s="375"/>
      <c r="AH154" s="375"/>
      <c r="AI154" s="375"/>
      <c r="AJ154" s="375"/>
      <c r="AK154" s="375"/>
    </row>
    <row r="155" spans="1:37">
      <c r="A155" s="375"/>
      <c r="B155" s="375"/>
      <c r="C155" s="375"/>
      <c r="D155" s="375"/>
      <c r="E155" s="375"/>
      <c r="F155" s="375"/>
      <c r="G155" s="375"/>
      <c r="H155" s="375"/>
      <c r="I155" s="375"/>
      <c r="J155" s="375"/>
      <c r="K155" s="375"/>
      <c r="L155" s="375"/>
      <c r="M155" s="375"/>
      <c r="N155" s="375"/>
      <c r="O155" s="375"/>
      <c r="P155" s="375"/>
      <c r="Q155" s="375"/>
      <c r="R155" s="375"/>
      <c r="U155" s="375"/>
      <c r="V155" s="375"/>
      <c r="W155" s="375"/>
      <c r="X155" s="375"/>
      <c r="Y155" s="375"/>
      <c r="Z155" s="375"/>
      <c r="AA155" s="375"/>
      <c r="AB155" s="375"/>
      <c r="AC155" s="375"/>
      <c r="AD155" s="375"/>
      <c r="AE155" s="375"/>
      <c r="AF155" s="375"/>
      <c r="AG155" s="375"/>
      <c r="AH155" s="375"/>
      <c r="AI155" s="375"/>
      <c r="AJ155" s="375"/>
      <c r="AK155" s="375"/>
    </row>
    <row r="156" spans="1:37">
      <c r="A156" s="506"/>
      <c r="B156" s="506"/>
      <c r="C156" s="375"/>
      <c r="D156" s="375"/>
      <c r="E156" s="375"/>
      <c r="F156" s="375"/>
      <c r="G156" s="375"/>
      <c r="H156" s="375"/>
      <c r="I156" s="375"/>
      <c r="J156" s="375"/>
      <c r="K156" s="375"/>
      <c r="L156" s="375"/>
      <c r="M156" s="375"/>
      <c r="N156" s="375"/>
      <c r="O156" s="375"/>
      <c r="P156" s="375"/>
      <c r="Q156" s="375"/>
      <c r="R156" s="375"/>
      <c r="U156" s="506"/>
      <c r="V156" s="375"/>
      <c r="W156" s="375"/>
      <c r="X156" s="375"/>
      <c r="Y156" s="375"/>
      <c r="Z156" s="375"/>
      <c r="AA156" s="375"/>
      <c r="AB156" s="375"/>
      <c r="AC156" s="375"/>
      <c r="AD156" s="375"/>
      <c r="AE156" s="375"/>
      <c r="AF156" s="375"/>
      <c r="AG156" s="375"/>
      <c r="AH156" s="375"/>
      <c r="AI156" s="375"/>
      <c r="AJ156" s="375"/>
      <c r="AK156" s="375"/>
    </row>
    <row r="157" spans="1:37">
      <c r="A157" s="375"/>
      <c r="B157" s="375"/>
      <c r="C157" s="375"/>
      <c r="D157" s="375"/>
      <c r="E157" s="375"/>
      <c r="F157" s="375"/>
      <c r="G157" s="375"/>
      <c r="H157" s="375"/>
      <c r="I157" s="375"/>
      <c r="J157" s="375"/>
      <c r="K157" s="375"/>
      <c r="L157" s="375"/>
      <c r="M157" s="375"/>
      <c r="N157" s="375"/>
      <c r="O157" s="375"/>
      <c r="P157" s="375"/>
      <c r="Q157" s="375"/>
      <c r="R157" s="375"/>
      <c r="U157" s="375"/>
      <c r="V157" s="375"/>
      <c r="W157" s="375"/>
      <c r="X157" s="375"/>
      <c r="Y157" s="375"/>
      <c r="Z157" s="375"/>
      <c r="AA157" s="375"/>
      <c r="AB157" s="375"/>
      <c r="AC157" s="375"/>
      <c r="AD157" s="375"/>
      <c r="AE157" s="375"/>
      <c r="AF157" s="375"/>
      <c r="AG157" s="375"/>
      <c r="AH157" s="375"/>
      <c r="AI157" s="375"/>
      <c r="AJ157" s="375"/>
      <c r="AK157" s="375"/>
    </row>
    <row r="158" spans="1:37">
      <c r="A158" s="375"/>
      <c r="B158" s="375"/>
      <c r="C158" s="375"/>
      <c r="D158" s="375"/>
      <c r="E158" s="375"/>
      <c r="F158" s="375"/>
      <c r="G158" s="375"/>
      <c r="H158" s="375"/>
      <c r="I158" s="375"/>
      <c r="J158" s="375"/>
      <c r="K158" s="375"/>
      <c r="L158" s="375"/>
      <c r="M158" s="375"/>
      <c r="N158" s="375"/>
      <c r="O158" s="375"/>
      <c r="P158" s="375"/>
      <c r="Q158" s="16"/>
      <c r="R158" s="375"/>
      <c r="U158" s="375"/>
      <c r="V158" s="375"/>
      <c r="W158" s="375"/>
      <c r="X158" s="375"/>
      <c r="Y158" s="375"/>
      <c r="Z158" s="375"/>
      <c r="AA158" s="375"/>
      <c r="AB158" s="375"/>
      <c r="AC158" s="375"/>
      <c r="AD158" s="375"/>
      <c r="AE158" s="375"/>
      <c r="AF158" s="375"/>
      <c r="AG158" s="375"/>
      <c r="AH158" s="375"/>
      <c r="AI158" s="375"/>
      <c r="AJ158" s="16"/>
      <c r="AK158" s="375"/>
    </row>
    <row r="159" spans="1:37">
      <c r="A159" s="375"/>
      <c r="B159" s="375"/>
      <c r="C159" s="375"/>
      <c r="D159" s="375"/>
      <c r="E159" s="375"/>
      <c r="F159" s="375"/>
      <c r="G159" s="375"/>
      <c r="H159" s="375"/>
      <c r="I159" s="375"/>
      <c r="J159" s="375"/>
      <c r="K159" s="375"/>
      <c r="L159" s="375"/>
      <c r="M159" s="375"/>
      <c r="N159" s="375"/>
      <c r="O159" s="375"/>
      <c r="P159" s="375"/>
      <c r="Q159" s="375"/>
      <c r="R159" s="375"/>
      <c r="U159" s="375"/>
      <c r="V159" s="375"/>
      <c r="W159" s="375"/>
      <c r="X159" s="375"/>
      <c r="Y159" s="375"/>
      <c r="Z159" s="375"/>
      <c r="AA159" s="375"/>
      <c r="AB159" s="375"/>
      <c r="AC159" s="375"/>
      <c r="AD159" s="375"/>
      <c r="AE159" s="375"/>
      <c r="AF159" s="375"/>
      <c r="AG159" s="375"/>
      <c r="AH159" s="375"/>
      <c r="AI159" s="375"/>
      <c r="AJ159" s="375"/>
      <c r="AK159" s="375"/>
    </row>
    <row r="160" spans="1:37">
      <c r="A160" s="375"/>
      <c r="B160" s="375"/>
      <c r="C160" s="375"/>
      <c r="D160" s="375"/>
      <c r="E160" s="375"/>
      <c r="F160" s="375"/>
      <c r="G160" s="375"/>
      <c r="H160" s="375"/>
      <c r="I160" s="375"/>
      <c r="J160" s="375"/>
      <c r="K160" s="375"/>
      <c r="L160" s="375"/>
      <c r="M160" s="375"/>
      <c r="N160" s="375"/>
      <c r="O160" s="375"/>
      <c r="P160" s="375"/>
      <c r="Q160" s="375"/>
      <c r="R160" s="375"/>
      <c r="U160" s="375"/>
      <c r="V160" s="375"/>
      <c r="W160" s="375"/>
      <c r="X160" s="375"/>
      <c r="Y160" s="375"/>
      <c r="Z160" s="375"/>
      <c r="AA160" s="375"/>
      <c r="AB160" s="375"/>
      <c r="AC160" s="375"/>
      <c r="AD160" s="375"/>
      <c r="AE160" s="375"/>
      <c r="AF160" s="375"/>
      <c r="AG160" s="375"/>
      <c r="AH160" s="375"/>
      <c r="AI160" s="375"/>
      <c r="AJ160" s="375"/>
      <c r="AK160" s="375"/>
    </row>
    <row r="161" spans="1:37">
      <c r="A161" s="375"/>
      <c r="B161" s="375"/>
      <c r="C161" s="375"/>
      <c r="D161" s="375"/>
      <c r="E161" s="375"/>
      <c r="F161" s="375"/>
      <c r="G161" s="375"/>
      <c r="H161" s="375"/>
      <c r="I161" s="375"/>
      <c r="J161" s="375"/>
      <c r="K161" s="375"/>
      <c r="L161" s="375"/>
      <c r="M161" s="375"/>
      <c r="N161" s="375"/>
      <c r="O161" s="375"/>
      <c r="P161" s="375"/>
      <c r="Q161" s="375"/>
      <c r="R161" s="375"/>
      <c r="U161" s="375"/>
      <c r="V161" s="375"/>
      <c r="W161" s="375"/>
      <c r="X161" s="375"/>
      <c r="Y161" s="375"/>
      <c r="Z161" s="375"/>
      <c r="AA161" s="375"/>
      <c r="AB161" s="375"/>
      <c r="AC161" s="375"/>
      <c r="AD161" s="375"/>
      <c r="AE161" s="375"/>
      <c r="AF161" s="375"/>
      <c r="AG161" s="375"/>
      <c r="AH161" s="375"/>
      <c r="AI161" s="375"/>
      <c r="AJ161" s="375"/>
      <c r="AK161" s="375"/>
    </row>
    <row r="162" spans="1:37">
      <c r="A162" s="506"/>
      <c r="B162" s="506"/>
      <c r="C162" s="375"/>
      <c r="D162" s="375"/>
      <c r="E162" s="375"/>
      <c r="F162" s="375"/>
      <c r="G162" s="375"/>
      <c r="H162" s="375"/>
      <c r="I162" s="375"/>
      <c r="J162" s="375"/>
      <c r="K162" s="375"/>
      <c r="L162" s="375"/>
      <c r="M162" s="375"/>
      <c r="N162" s="375"/>
      <c r="O162" s="375"/>
      <c r="P162" s="375"/>
      <c r="Q162" s="375"/>
      <c r="R162" s="375"/>
      <c r="U162" s="506"/>
      <c r="V162" s="375"/>
      <c r="W162" s="375"/>
      <c r="X162" s="375"/>
      <c r="Y162" s="375"/>
      <c r="Z162" s="375"/>
      <c r="AA162" s="375"/>
      <c r="AB162" s="375"/>
      <c r="AC162" s="375"/>
      <c r="AD162" s="375"/>
      <c r="AE162" s="375"/>
      <c r="AF162" s="375"/>
      <c r="AG162" s="375"/>
      <c r="AH162" s="375"/>
      <c r="AI162" s="375"/>
      <c r="AJ162" s="375"/>
      <c r="AK162" s="375"/>
    </row>
    <row r="163" spans="1:37">
      <c r="A163" s="375"/>
      <c r="B163" s="375"/>
      <c r="C163" s="375"/>
      <c r="D163" s="375"/>
      <c r="E163" s="375"/>
      <c r="F163" s="375"/>
      <c r="G163" s="375"/>
      <c r="H163" s="375"/>
      <c r="I163" s="375"/>
      <c r="J163" s="375"/>
      <c r="K163" s="375"/>
      <c r="L163" s="375"/>
      <c r="M163" s="375"/>
      <c r="N163" s="375"/>
      <c r="O163" s="375"/>
      <c r="P163" s="375"/>
      <c r="Q163" s="375"/>
      <c r="R163" s="375"/>
      <c r="U163" s="375"/>
      <c r="V163" s="375"/>
      <c r="W163" s="375"/>
      <c r="X163" s="375"/>
      <c r="Y163" s="375"/>
      <c r="Z163" s="375"/>
      <c r="AA163" s="375"/>
      <c r="AB163" s="375"/>
      <c r="AC163" s="375"/>
      <c r="AD163" s="375"/>
      <c r="AE163" s="375"/>
      <c r="AF163" s="375"/>
      <c r="AG163" s="375"/>
      <c r="AH163" s="375"/>
      <c r="AI163" s="375"/>
      <c r="AJ163" s="375"/>
      <c r="AK163" s="375"/>
    </row>
    <row r="164" spans="1:37">
      <c r="A164" s="375"/>
      <c r="B164" s="375"/>
      <c r="C164" s="375"/>
      <c r="D164" s="375"/>
      <c r="E164" s="375"/>
      <c r="F164" s="375"/>
      <c r="G164" s="375"/>
      <c r="H164" s="375"/>
      <c r="I164" s="375"/>
      <c r="J164" s="375"/>
      <c r="K164" s="375"/>
      <c r="L164" s="375"/>
      <c r="M164" s="375"/>
      <c r="N164" s="375"/>
      <c r="O164" s="375"/>
      <c r="P164" s="375"/>
      <c r="Q164" s="16"/>
      <c r="R164" s="375"/>
      <c r="U164" s="375"/>
      <c r="V164" s="375"/>
      <c r="W164" s="375"/>
      <c r="X164" s="375"/>
      <c r="Y164" s="375"/>
      <c r="Z164" s="375"/>
      <c r="AA164" s="375"/>
      <c r="AB164" s="375"/>
      <c r="AC164" s="375"/>
      <c r="AD164" s="375"/>
      <c r="AE164" s="375"/>
      <c r="AF164" s="375"/>
      <c r="AG164" s="375"/>
      <c r="AH164" s="375"/>
      <c r="AI164" s="375"/>
      <c r="AJ164" s="16"/>
      <c r="AK164" s="375"/>
    </row>
    <row r="165" spans="1:37">
      <c r="A165" s="375"/>
      <c r="B165" s="375"/>
      <c r="C165" s="375"/>
      <c r="D165" s="375"/>
      <c r="E165" s="375"/>
      <c r="F165" s="375"/>
      <c r="G165" s="375"/>
      <c r="H165" s="375"/>
      <c r="I165" s="375"/>
      <c r="J165" s="375"/>
      <c r="K165" s="375"/>
      <c r="L165" s="375"/>
      <c r="M165" s="375"/>
      <c r="N165" s="375"/>
      <c r="O165" s="375"/>
      <c r="P165" s="375"/>
      <c r="Q165" s="375"/>
      <c r="R165" s="375"/>
      <c r="U165" s="375"/>
      <c r="V165" s="375"/>
      <c r="W165" s="375"/>
      <c r="X165" s="375"/>
      <c r="Y165" s="375"/>
      <c r="Z165" s="375"/>
      <c r="AA165" s="375"/>
      <c r="AB165" s="375"/>
      <c r="AC165" s="375"/>
      <c r="AD165" s="375"/>
      <c r="AE165" s="375"/>
      <c r="AF165" s="375"/>
      <c r="AG165" s="375"/>
      <c r="AH165" s="375"/>
      <c r="AI165" s="375"/>
      <c r="AJ165" s="375"/>
      <c r="AK165" s="375"/>
    </row>
    <row r="166" spans="1:37">
      <c r="A166" s="375"/>
      <c r="B166" s="375"/>
      <c r="C166" s="375"/>
      <c r="D166" s="375"/>
      <c r="E166" s="375"/>
      <c r="F166" s="375"/>
      <c r="G166" s="375"/>
      <c r="H166" s="375"/>
      <c r="I166" s="375"/>
      <c r="J166" s="375"/>
      <c r="K166" s="375"/>
      <c r="L166" s="375"/>
      <c r="M166" s="375"/>
      <c r="N166" s="375"/>
      <c r="O166" s="375"/>
      <c r="P166" s="375"/>
      <c r="Q166" s="375"/>
      <c r="R166" s="375"/>
      <c r="U166" s="375"/>
      <c r="V166" s="375"/>
      <c r="W166" s="375"/>
      <c r="X166" s="375"/>
      <c r="Y166" s="375"/>
      <c r="Z166" s="375"/>
      <c r="AA166" s="375"/>
      <c r="AB166" s="375"/>
      <c r="AC166" s="375"/>
      <c r="AD166" s="375"/>
      <c r="AE166" s="375"/>
      <c r="AF166" s="375"/>
      <c r="AG166" s="375"/>
      <c r="AH166" s="375"/>
      <c r="AI166" s="375"/>
      <c r="AJ166" s="375"/>
      <c r="AK166" s="375"/>
    </row>
    <row r="167" spans="1:37">
      <c r="A167" s="16"/>
      <c r="B167" s="16"/>
      <c r="C167" s="16"/>
      <c r="D167" s="16"/>
      <c r="E167" s="16"/>
      <c r="F167" s="16"/>
      <c r="G167" s="16"/>
      <c r="H167" s="16"/>
      <c r="I167" s="16"/>
      <c r="J167" s="16"/>
      <c r="K167" s="16"/>
      <c r="L167" s="16"/>
      <c r="M167" s="16"/>
      <c r="N167" s="16"/>
      <c r="O167" s="16"/>
      <c r="P167" s="16"/>
      <c r="Q167" s="16"/>
      <c r="R167" s="16"/>
      <c r="U167" s="16"/>
      <c r="V167" s="16"/>
      <c r="W167" s="16"/>
      <c r="X167" s="16"/>
      <c r="Y167" s="16"/>
      <c r="Z167" s="16"/>
      <c r="AA167" s="16"/>
      <c r="AB167" s="16"/>
      <c r="AC167" s="16"/>
      <c r="AD167" s="16"/>
      <c r="AE167" s="16"/>
      <c r="AF167" s="16"/>
      <c r="AG167" s="16"/>
      <c r="AH167" s="16"/>
      <c r="AI167" s="16"/>
      <c r="AJ167" s="16"/>
      <c r="AK167" s="16"/>
    </row>
    <row r="168" spans="1:37">
      <c r="A168" s="506"/>
      <c r="B168" s="506"/>
      <c r="C168" s="375"/>
      <c r="D168" s="375"/>
      <c r="E168" s="375"/>
      <c r="F168" s="375"/>
      <c r="G168" s="375"/>
      <c r="H168" s="375"/>
      <c r="I168" s="375"/>
      <c r="J168" s="375"/>
      <c r="K168" s="375"/>
      <c r="L168" s="375"/>
      <c r="M168" s="375"/>
      <c r="N168" s="375"/>
      <c r="O168" s="375"/>
      <c r="P168" s="375"/>
      <c r="Q168" s="375"/>
      <c r="R168" s="16"/>
      <c r="U168" s="506"/>
      <c r="V168" s="375"/>
      <c r="W168" s="375"/>
      <c r="X168" s="375"/>
      <c r="Y168" s="375"/>
      <c r="Z168" s="375"/>
      <c r="AA168" s="375"/>
      <c r="AB168" s="375"/>
      <c r="AC168" s="375"/>
      <c r="AD168" s="375"/>
      <c r="AE168" s="375"/>
      <c r="AF168" s="375"/>
      <c r="AG168" s="375"/>
      <c r="AH168" s="375"/>
      <c r="AI168" s="375"/>
      <c r="AJ168" s="375"/>
      <c r="AK168" s="16"/>
    </row>
    <row r="169" spans="1:37">
      <c r="A169" s="375"/>
      <c r="B169" s="375"/>
      <c r="C169" s="375"/>
      <c r="D169" s="375"/>
      <c r="E169" s="375"/>
      <c r="F169" s="375"/>
      <c r="G169" s="375"/>
      <c r="H169" s="375"/>
      <c r="I169" s="375"/>
      <c r="J169" s="375"/>
      <c r="K169" s="375"/>
      <c r="L169" s="375"/>
      <c r="M169" s="375"/>
      <c r="N169" s="375"/>
      <c r="O169" s="375"/>
      <c r="P169" s="375"/>
      <c r="Q169" s="375"/>
      <c r="R169" s="16"/>
      <c r="U169" s="375"/>
      <c r="V169" s="375"/>
      <c r="W169" s="375"/>
      <c r="X169" s="375"/>
      <c r="Y169" s="375"/>
      <c r="Z169" s="375"/>
      <c r="AA169" s="375"/>
      <c r="AB169" s="375"/>
      <c r="AC169" s="375"/>
      <c r="AD169" s="375"/>
      <c r="AE169" s="375"/>
      <c r="AF169" s="375"/>
      <c r="AG169" s="375"/>
      <c r="AH169" s="375"/>
      <c r="AI169" s="375"/>
      <c r="AJ169" s="375"/>
      <c r="AK169" s="16"/>
    </row>
    <row r="170" spans="1:37">
      <c r="A170" s="375"/>
      <c r="B170" s="375"/>
      <c r="C170" s="375"/>
      <c r="D170" s="375"/>
      <c r="E170" s="375"/>
      <c r="F170" s="375"/>
      <c r="G170" s="375"/>
      <c r="H170" s="375"/>
      <c r="I170" s="375"/>
      <c r="J170" s="375"/>
      <c r="K170" s="375"/>
      <c r="L170" s="375"/>
      <c r="M170" s="375"/>
      <c r="N170" s="375"/>
      <c r="O170" s="375"/>
      <c r="P170" s="375"/>
      <c r="Q170" s="16"/>
      <c r="R170" s="375"/>
      <c r="U170" s="375"/>
      <c r="V170" s="375"/>
      <c r="W170" s="375"/>
      <c r="X170" s="375"/>
      <c r="Y170" s="375"/>
      <c r="Z170" s="375"/>
      <c r="AA170" s="375"/>
      <c r="AB170" s="375"/>
      <c r="AC170" s="375"/>
      <c r="AD170" s="375"/>
      <c r="AE170" s="375"/>
      <c r="AF170" s="375"/>
      <c r="AG170" s="375"/>
      <c r="AH170" s="375"/>
      <c r="AI170" s="375"/>
      <c r="AJ170" s="16"/>
      <c r="AK170" s="375"/>
    </row>
    <row r="171" spans="1:37">
      <c r="A171" s="375"/>
      <c r="B171" s="375"/>
      <c r="C171" s="375"/>
      <c r="D171" s="375"/>
      <c r="E171" s="375"/>
      <c r="F171" s="375"/>
      <c r="G171" s="375"/>
      <c r="H171" s="375"/>
      <c r="I171" s="375"/>
      <c r="J171" s="375"/>
      <c r="K171" s="375"/>
      <c r="L171" s="375"/>
      <c r="M171" s="375"/>
      <c r="N171" s="375"/>
      <c r="O171" s="375"/>
      <c r="P171" s="375"/>
      <c r="Q171" s="375"/>
      <c r="R171" s="16"/>
      <c r="U171" s="375"/>
      <c r="V171" s="375"/>
      <c r="W171" s="375"/>
      <c r="X171" s="375"/>
      <c r="Y171" s="375"/>
      <c r="Z171" s="375"/>
      <c r="AA171" s="375"/>
      <c r="AB171" s="375"/>
      <c r="AC171" s="375"/>
      <c r="AD171" s="375"/>
      <c r="AE171" s="375"/>
      <c r="AF171" s="375"/>
      <c r="AG171" s="375"/>
      <c r="AH171" s="375"/>
      <c r="AI171" s="375"/>
      <c r="AJ171" s="375"/>
      <c r="AK171" s="16"/>
    </row>
    <row r="172" spans="1:37">
      <c r="A172" s="375"/>
      <c r="B172" s="375"/>
      <c r="C172" s="375"/>
      <c r="D172" s="375"/>
      <c r="E172" s="375"/>
      <c r="F172" s="375"/>
      <c r="G172" s="375"/>
      <c r="H172" s="375"/>
      <c r="I172" s="375"/>
      <c r="J172" s="375"/>
      <c r="K172" s="375"/>
      <c r="L172" s="375"/>
      <c r="M172" s="375"/>
      <c r="N172" s="375"/>
      <c r="O172" s="375"/>
      <c r="P172" s="375"/>
      <c r="Q172" s="375"/>
      <c r="R172" s="16"/>
      <c r="U172" s="375"/>
      <c r="V172" s="375"/>
      <c r="W172" s="375"/>
      <c r="X172" s="375"/>
      <c r="Y172" s="375"/>
      <c r="Z172" s="375"/>
      <c r="AA172" s="375"/>
      <c r="AB172" s="375"/>
      <c r="AC172" s="375"/>
      <c r="AD172" s="375"/>
      <c r="AE172" s="375"/>
      <c r="AF172" s="375"/>
      <c r="AG172" s="375"/>
      <c r="AH172" s="375"/>
      <c r="AI172" s="375"/>
      <c r="AJ172" s="375"/>
      <c r="AK172" s="16"/>
    </row>
    <row r="173" spans="1:37">
      <c r="A173" s="375"/>
      <c r="B173" s="375"/>
      <c r="C173" s="375"/>
      <c r="D173" s="375"/>
      <c r="E173" s="375"/>
      <c r="F173" s="375"/>
      <c r="G173" s="375"/>
      <c r="H173" s="375"/>
      <c r="I173" s="375"/>
      <c r="J173" s="375"/>
      <c r="K173" s="375"/>
      <c r="L173" s="375"/>
      <c r="M173" s="375"/>
      <c r="N173" s="375"/>
      <c r="O173" s="375"/>
      <c r="P173" s="375"/>
      <c r="Q173" s="375"/>
      <c r="R173" s="16"/>
      <c r="U173" s="375"/>
      <c r="V173" s="375"/>
      <c r="W173" s="375"/>
      <c r="X173" s="375"/>
      <c r="Y173" s="375"/>
      <c r="Z173" s="375"/>
      <c r="AA173" s="375"/>
      <c r="AB173" s="375"/>
      <c r="AC173" s="375"/>
      <c r="AD173" s="375"/>
      <c r="AE173" s="375"/>
      <c r="AF173" s="375"/>
      <c r="AG173" s="375"/>
      <c r="AH173" s="375"/>
      <c r="AI173" s="375"/>
      <c r="AJ173" s="375"/>
      <c r="AK173" s="16"/>
    </row>
    <row r="174" spans="1:37">
      <c r="A174" s="506"/>
      <c r="B174" s="506"/>
      <c r="C174" s="375"/>
      <c r="D174" s="375"/>
      <c r="E174" s="375"/>
      <c r="F174" s="375"/>
      <c r="G174" s="375"/>
      <c r="H174" s="375"/>
      <c r="I174" s="375"/>
      <c r="J174" s="375"/>
      <c r="K174" s="375"/>
      <c r="L174" s="375"/>
      <c r="M174" s="375"/>
      <c r="N174" s="375"/>
      <c r="O174" s="375"/>
      <c r="P174" s="375"/>
      <c r="Q174" s="375"/>
      <c r="R174" s="16"/>
      <c r="U174" s="506"/>
      <c r="V174" s="375"/>
      <c r="W174" s="375"/>
      <c r="X174" s="375"/>
      <c r="Y174" s="375"/>
      <c r="Z174" s="375"/>
      <c r="AA174" s="375"/>
      <c r="AB174" s="375"/>
      <c r="AC174" s="375"/>
      <c r="AD174" s="375"/>
      <c r="AE174" s="375"/>
      <c r="AF174" s="375"/>
      <c r="AG174" s="375"/>
      <c r="AH174" s="375"/>
      <c r="AI174" s="375"/>
      <c r="AJ174" s="375"/>
      <c r="AK174" s="16"/>
    </row>
    <row r="175" spans="1:37">
      <c r="A175" s="375"/>
      <c r="B175" s="375"/>
      <c r="C175" s="375"/>
      <c r="D175" s="375"/>
      <c r="E175" s="375"/>
      <c r="F175" s="375"/>
      <c r="G175" s="375"/>
      <c r="H175" s="375"/>
      <c r="I175" s="375"/>
      <c r="J175" s="375"/>
      <c r="K175" s="375"/>
      <c r="L175" s="375"/>
      <c r="M175" s="375"/>
      <c r="N175" s="375"/>
      <c r="O175" s="375"/>
      <c r="P175" s="375"/>
      <c r="Q175" s="375"/>
      <c r="R175" s="16"/>
      <c r="U175" s="375"/>
      <c r="V175" s="375"/>
      <c r="W175" s="375"/>
      <c r="X175" s="375"/>
      <c r="Y175" s="375"/>
      <c r="Z175" s="375"/>
      <c r="AA175" s="375"/>
      <c r="AB175" s="375"/>
      <c r="AC175" s="375"/>
      <c r="AD175" s="375"/>
      <c r="AE175" s="375"/>
      <c r="AF175" s="375"/>
      <c r="AG175" s="375"/>
      <c r="AH175" s="375"/>
      <c r="AI175" s="375"/>
      <c r="AJ175" s="375"/>
      <c r="AK175" s="16"/>
    </row>
    <row r="176" spans="1:37">
      <c r="A176" s="375"/>
      <c r="B176" s="375"/>
      <c r="C176" s="375"/>
      <c r="D176" s="375"/>
      <c r="E176" s="375"/>
      <c r="F176" s="375"/>
      <c r="G176" s="375"/>
      <c r="H176" s="375"/>
      <c r="I176" s="375"/>
      <c r="J176" s="375"/>
      <c r="K176" s="375"/>
      <c r="L176" s="375"/>
      <c r="M176" s="375"/>
      <c r="N176" s="375"/>
      <c r="O176" s="375"/>
      <c r="P176" s="375"/>
      <c r="Q176" s="16"/>
      <c r="R176" s="375"/>
      <c r="U176" s="375"/>
      <c r="V176" s="375"/>
      <c r="W176" s="375"/>
      <c r="X176" s="375"/>
      <c r="Y176" s="375"/>
      <c r="Z176" s="375"/>
      <c r="AA176" s="375"/>
      <c r="AB176" s="375"/>
      <c r="AC176" s="375"/>
      <c r="AD176" s="375"/>
      <c r="AE176" s="375"/>
      <c r="AF176" s="375"/>
      <c r="AG176" s="375"/>
      <c r="AH176" s="375"/>
      <c r="AI176" s="375"/>
      <c r="AJ176" s="16"/>
      <c r="AK176" s="375"/>
    </row>
    <row r="177" spans="1:37">
      <c r="A177" s="375"/>
      <c r="B177" s="375"/>
      <c r="C177" s="375"/>
      <c r="D177" s="375"/>
      <c r="E177" s="375"/>
      <c r="F177" s="375"/>
      <c r="G177" s="375"/>
      <c r="H177" s="375"/>
      <c r="I177" s="375"/>
      <c r="J177" s="375"/>
      <c r="K177" s="375"/>
      <c r="L177" s="375"/>
      <c r="M177" s="375"/>
      <c r="N177" s="375"/>
      <c r="O177" s="375"/>
      <c r="P177" s="375"/>
      <c r="Q177" s="375"/>
      <c r="R177" s="16"/>
      <c r="U177" s="375"/>
      <c r="V177" s="375"/>
      <c r="W177" s="375"/>
      <c r="X177" s="375"/>
      <c r="Y177" s="375"/>
      <c r="Z177" s="375"/>
      <c r="AA177" s="375"/>
      <c r="AB177" s="375"/>
      <c r="AC177" s="375"/>
      <c r="AD177" s="375"/>
      <c r="AE177" s="375"/>
      <c r="AF177" s="375"/>
      <c r="AG177" s="375"/>
      <c r="AH177" s="375"/>
      <c r="AI177" s="375"/>
      <c r="AJ177" s="375"/>
      <c r="AK177" s="16"/>
    </row>
    <row r="178" spans="1:37">
      <c r="A178" s="506"/>
      <c r="B178" s="506"/>
      <c r="C178" s="375"/>
      <c r="D178" s="375"/>
      <c r="E178" s="375"/>
      <c r="F178" s="375"/>
      <c r="G178" s="375"/>
      <c r="H178" s="375"/>
      <c r="I178" s="375"/>
      <c r="J178" s="375"/>
      <c r="K178" s="375"/>
      <c r="L178" s="375"/>
      <c r="M178" s="375"/>
      <c r="N178" s="375"/>
      <c r="O178" s="375"/>
      <c r="P178" s="375"/>
      <c r="Q178" s="375"/>
      <c r="R178" s="16"/>
      <c r="U178" s="506"/>
      <c r="V178" s="375"/>
      <c r="W178" s="375"/>
      <c r="X178" s="375"/>
      <c r="Y178" s="375"/>
      <c r="Z178" s="375"/>
      <c r="AA178" s="375"/>
      <c r="AB178" s="375"/>
      <c r="AC178" s="375"/>
      <c r="AD178" s="375"/>
      <c r="AE178" s="375"/>
      <c r="AF178" s="375"/>
      <c r="AG178" s="375"/>
      <c r="AH178" s="375"/>
      <c r="AI178" s="375"/>
      <c r="AJ178" s="375"/>
      <c r="AK178" s="16"/>
    </row>
    <row r="179" spans="1:37">
      <c r="A179" s="375"/>
      <c r="B179" s="375"/>
      <c r="C179" s="375"/>
      <c r="D179" s="375"/>
      <c r="E179" s="375"/>
      <c r="F179" s="375"/>
      <c r="G179" s="375"/>
      <c r="H179" s="375"/>
      <c r="I179" s="375"/>
      <c r="J179" s="375"/>
      <c r="K179" s="375"/>
      <c r="L179" s="375"/>
      <c r="M179" s="375"/>
      <c r="N179" s="375"/>
      <c r="O179" s="375"/>
      <c r="P179" s="375"/>
      <c r="Q179" s="375"/>
      <c r="R179" s="16"/>
      <c r="U179" s="375"/>
      <c r="V179" s="375"/>
      <c r="W179" s="375"/>
      <c r="X179" s="375"/>
      <c r="Y179" s="375"/>
      <c r="Z179" s="375"/>
      <c r="AA179" s="375"/>
      <c r="AB179" s="375"/>
      <c r="AC179" s="375"/>
      <c r="AD179" s="375"/>
      <c r="AE179" s="375"/>
      <c r="AF179" s="375"/>
      <c r="AG179" s="375"/>
      <c r="AH179" s="375"/>
      <c r="AI179" s="375"/>
      <c r="AJ179" s="375"/>
      <c r="AK179" s="16"/>
    </row>
    <row r="180" spans="1:37">
      <c r="A180" s="506"/>
      <c r="B180" s="506"/>
      <c r="C180" s="375"/>
      <c r="D180" s="375"/>
      <c r="E180" s="375"/>
      <c r="F180" s="375"/>
      <c r="G180" s="375"/>
      <c r="H180" s="375"/>
      <c r="I180" s="375"/>
      <c r="J180" s="375"/>
      <c r="K180" s="375"/>
      <c r="L180" s="375"/>
      <c r="M180" s="375"/>
      <c r="N180" s="375"/>
      <c r="O180" s="375"/>
      <c r="P180" s="375"/>
      <c r="Q180" s="375"/>
      <c r="R180" s="16"/>
      <c r="U180" s="506"/>
      <c r="V180" s="375"/>
      <c r="W180" s="375"/>
      <c r="X180" s="375"/>
      <c r="Y180" s="375"/>
      <c r="Z180" s="375"/>
      <c r="AA180" s="375"/>
      <c r="AB180" s="375"/>
      <c r="AC180" s="375"/>
      <c r="AD180" s="375"/>
      <c r="AE180" s="375"/>
      <c r="AF180" s="375"/>
      <c r="AG180" s="375"/>
      <c r="AH180" s="375"/>
      <c r="AI180" s="375"/>
      <c r="AJ180" s="375"/>
      <c r="AK180" s="16"/>
    </row>
    <row r="181" spans="1:37">
      <c r="A181" s="375"/>
      <c r="B181" s="375"/>
      <c r="C181" s="375"/>
      <c r="D181" s="375"/>
      <c r="E181" s="375"/>
      <c r="F181" s="375"/>
      <c r="G181" s="375"/>
      <c r="H181" s="375"/>
      <c r="I181" s="375"/>
      <c r="J181" s="375"/>
      <c r="K181" s="375"/>
      <c r="L181" s="375"/>
      <c r="M181" s="375"/>
      <c r="N181" s="375"/>
      <c r="O181" s="375"/>
      <c r="P181" s="375"/>
      <c r="Q181" s="375"/>
      <c r="R181" s="16"/>
      <c r="U181" s="375"/>
      <c r="V181" s="375"/>
      <c r="W181" s="375"/>
      <c r="X181" s="375"/>
      <c r="Y181" s="375"/>
      <c r="Z181" s="375"/>
      <c r="AA181" s="375"/>
      <c r="AB181" s="375"/>
      <c r="AC181" s="375"/>
      <c r="AD181" s="375"/>
      <c r="AE181" s="375"/>
      <c r="AF181" s="375"/>
      <c r="AG181" s="375"/>
      <c r="AH181" s="375"/>
      <c r="AI181" s="375"/>
      <c r="AJ181" s="375"/>
      <c r="AK181" s="16"/>
    </row>
    <row r="182" spans="1:37">
      <c r="A182" s="375"/>
      <c r="B182" s="375"/>
      <c r="C182" s="375"/>
      <c r="D182" s="375"/>
      <c r="E182" s="375"/>
      <c r="F182" s="375"/>
      <c r="G182" s="375"/>
      <c r="H182" s="375"/>
      <c r="I182" s="375"/>
      <c r="J182" s="375"/>
      <c r="K182" s="375"/>
      <c r="L182" s="375"/>
      <c r="M182" s="375"/>
      <c r="N182" s="375"/>
      <c r="O182" s="375"/>
      <c r="P182" s="375"/>
      <c r="Q182" s="16"/>
      <c r="R182" s="375"/>
      <c r="U182" s="375"/>
      <c r="V182" s="375"/>
      <c r="W182" s="375"/>
      <c r="X182" s="375"/>
      <c r="Y182" s="375"/>
      <c r="Z182" s="375"/>
      <c r="AA182" s="375"/>
      <c r="AB182" s="375"/>
      <c r="AC182" s="375"/>
      <c r="AD182" s="375"/>
      <c r="AE182" s="375"/>
      <c r="AF182" s="375"/>
      <c r="AG182" s="375"/>
      <c r="AH182" s="375"/>
      <c r="AI182" s="375"/>
      <c r="AJ182" s="16"/>
      <c r="AK182" s="375"/>
    </row>
    <row r="183" spans="1:37">
      <c r="A183" s="375"/>
      <c r="B183" s="375"/>
      <c r="C183" s="375"/>
      <c r="D183" s="375"/>
      <c r="E183" s="375"/>
      <c r="F183" s="375"/>
      <c r="G183" s="375"/>
      <c r="H183" s="375"/>
      <c r="I183" s="375"/>
      <c r="J183" s="375"/>
      <c r="K183" s="375"/>
      <c r="L183" s="375"/>
      <c r="M183" s="375"/>
      <c r="N183" s="375"/>
      <c r="O183" s="375"/>
      <c r="P183" s="375"/>
      <c r="Q183" s="375"/>
      <c r="R183" s="16"/>
      <c r="U183" s="375"/>
      <c r="V183" s="375"/>
      <c r="W183" s="375"/>
      <c r="X183" s="375"/>
      <c r="Y183" s="375"/>
      <c r="Z183" s="375"/>
      <c r="AA183" s="375"/>
      <c r="AB183" s="375"/>
      <c r="AC183" s="375"/>
      <c r="AD183" s="375"/>
      <c r="AE183" s="375"/>
      <c r="AF183" s="375"/>
      <c r="AG183" s="375"/>
      <c r="AH183" s="375"/>
      <c r="AI183" s="375"/>
      <c r="AJ183" s="375"/>
      <c r="AK183" s="16"/>
    </row>
    <row r="184" spans="1:37">
      <c r="A184" s="375"/>
      <c r="B184" s="375"/>
      <c r="C184" s="375"/>
      <c r="D184" s="375"/>
      <c r="E184" s="375"/>
      <c r="F184" s="375"/>
      <c r="G184" s="375"/>
      <c r="H184" s="375"/>
      <c r="I184" s="375"/>
      <c r="J184" s="375"/>
      <c r="K184" s="375"/>
      <c r="L184" s="375"/>
      <c r="M184" s="375"/>
      <c r="N184" s="375"/>
      <c r="O184" s="375"/>
      <c r="P184" s="375"/>
      <c r="Q184" s="375"/>
      <c r="R184" s="16"/>
      <c r="U184" s="375"/>
      <c r="V184" s="375"/>
      <c r="W184" s="375"/>
      <c r="X184" s="375"/>
      <c r="Y184" s="375"/>
      <c r="Z184" s="375"/>
      <c r="AA184" s="375"/>
      <c r="AB184" s="375"/>
      <c r="AC184" s="375"/>
      <c r="AD184" s="375"/>
      <c r="AE184" s="375"/>
      <c r="AF184" s="375"/>
      <c r="AG184" s="375"/>
      <c r="AH184" s="375"/>
      <c r="AI184" s="375"/>
      <c r="AJ184" s="375"/>
      <c r="AK184" s="16"/>
    </row>
    <row r="185" spans="1:37">
      <c r="A185" s="375"/>
      <c r="B185" s="375"/>
      <c r="C185" s="375"/>
      <c r="D185" s="375"/>
      <c r="E185" s="375"/>
      <c r="F185" s="375"/>
      <c r="G185" s="375"/>
      <c r="H185" s="375"/>
      <c r="I185" s="375"/>
      <c r="J185" s="375"/>
      <c r="K185" s="375"/>
      <c r="L185" s="375"/>
      <c r="M185" s="375"/>
      <c r="N185" s="375"/>
      <c r="O185" s="375"/>
      <c r="P185" s="375"/>
      <c r="Q185" s="375"/>
      <c r="R185" s="16"/>
      <c r="U185" s="375"/>
      <c r="V185" s="375"/>
      <c r="W185" s="375"/>
      <c r="X185" s="375"/>
      <c r="Y185" s="375"/>
      <c r="Z185" s="375"/>
      <c r="AA185" s="375"/>
      <c r="AB185" s="375"/>
      <c r="AC185" s="375"/>
      <c r="AD185" s="375"/>
      <c r="AE185" s="375"/>
      <c r="AF185" s="375"/>
      <c r="AG185" s="375"/>
      <c r="AH185" s="375"/>
      <c r="AI185" s="375"/>
      <c r="AJ185" s="375"/>
      <c r="AK185" s="16"/>
    </row>
    <row r="186" spans="1:37">
      <c r="A186" s="506"/>
      <c r="B186" s="506"/>
      <c r="C186" s="375"/>
      <c r="D186" s="375"/>
      <c r="E186" s="375"/>
      <c r="F186" s="375"/>
      <c r="G186" s="375"/>
      <c r="H186" s="375"/>
      <c r="I186" s="375"/>
      <c r="J186" s="375"/>
      <c r="K186" s="375"/>
      <c r="L186" s="375"/>
      <c r="M186" s="375"/>
      <c r="N186" s="375"/>
      <c r="O186" s="375"/>
      <c r="P186" s="375"/>
      <c r="Q186" s="375"/>
      <c r="R186" s="16"/>
      <c r="U186" s="506"/>
      <c r="V186" s="375"/>
      <c r="W186" s="375"/>
      <c r="X186" s="375"/>
      <c r="Y186" s="375"/>
      <c r="Z186" s="375"/>
      <c r="AA186" s="375"/>
      <c r="AB186" s="375"/>
      <c r="AC186" s="375"/>
      <c r="AD186" s="375"/>
      <c r="AE186" s="375"/>
      <c r="AF186" s="375"/>
      <c r="AG186" s="375"/>
      <c r="AH186" s="375"/>
      <c r="AI186" s="375"/>
      <c r="AJ186" s="375"/>
      <c r="AK186" s="16"/>
    </row>
    <row r="187" spans="1:37">
      <c r="A187" s="375"/>
      <c r="B187" s="375"/>
      <c r="C187" s="375"/>
      <c r="D187" s="375"/>
      <c r="E187" s="375"/>
      <c r="F187" s="375"/>
      <c r="G187" s="375"/>
      <c r="H187" s="375"/>
      <c r="I187" s="375"/>
      <c r="J187" s="375"/>
      <c r="K187" s="375"/>
      <c r="L187" s="375"/>
      <c r="M187" s="375"/>
      <c r="N187" s="375"/>
      <c r="O187" s="375"/>
      <c r="P187" s="375"/>
      <c r="Q187" s="375"/>
      <c r="R187" s="16"/>
      <c r="U187" s="375"/>
      <c r="V187" s="375"/>
      <c r="W187" s="375"/>
      <c r="X187" s="375"/>
      <c r="Y187" s="375"/>
      <c r="Z187" s="375"/>
      <c r="AA187" s="375"/>
      <c r="AB187" s="375"/>
      <c r="AC187" s="375"/>
      <c r="AD187" s="375"/>
      <c r="AE187" s="375"/>
      <c r="AF187" s="375"/>
      <c r="AG187" s="375"/>
      <c r="AH187" s="375"/>
      <c r="AI187" s="375"/>
      <c r="AJ187" s="375"/>
      <c r="AK187" s="16"/>
    </row>
    <row r="188" spans="1:37">
      <c r="A188" s="375"/>
      <c r="B188" s="375"/>
      <c r="C188" s="375"/>
      <c r="D188" s="375"/>
      <c r="E188" s="375"/>
      <c r="F188" s="375"/>
      <c r="G188" s="375"/>
      <c r="H188" s="375"/>
      <c r="I188" s="375"/>
      <c r="J188" s="375"/>
      <c r="K188" s="375"/>
      <c r="L188" s="375"/>
      <c r="M188" s="375"/>
      <c r="N188" s="375"/>
      <c r="O188" s="375"/>
      <c r="P188" s="375"/>
      <c r="Q188" s="16"/>
      <c r="R188" s="375"/>
      <c r="U188" s="375"/>
      <c r="V188" s="375"/>
      <c r="W188" s="375"/>
      <c r="X188" s="375"/>
      <c r="Y188" s="375"/>
      <c r="Z188" s="375"/>
      <c r="AA188" s="375"/>
      <c r="AB188" s="375"/>
      <c r="AC188" s="375"/>
      <c r="AD188" s="375"/>
      <c r="AE188" s="375"/>
      <c r="AF188" s="375"/>
      <c r="AG188" s="375"/>
      <c r="AH188" s="375"/>
      <c r="AI188" s="375"/>
      <c r="AJ188" s="16"/>
      <c r="AK188" s="375"/>
    </row>
    <row r="189" spans="1:37">
      <c r="A189" s="375"/>
      <c r="B189" s="375"/>
      <c r="C189" s="375"/>
      <c r="D189" s="375"/>
      <c r="E189" s="375"/>
      <c r="F189" s="375"/>
      <c r="G189" s="375"/>
      <c r="H189" s="375"/>
      <c r="I189" s="375"/>
      <c r="J189" s="375"/>
      <c r="K189" s="375"/>
      <c r="L189" s="375"/>
      <c r="M189" s="375"/>
      <c r="N189" s="375"/>
      <c r="O189" s="375"/>
      <c r="P189" s="375"/>
      <c r="Q189" s="375"/>
      <c r="R189" s="16"/>
      <c r="U189" s="375"/>
      <c r="V189" s="375"/>
      <c r="W189" s="375"/>
      <c r="X189" s="375"/>
      <c r="Y189" s="375"/>
      <c r="Z189" s="375"/>
      <c r="AA189" s="375"/>
      <c r="AB189" s="375"/>
      <c r="AC189" s="375"/>
      <c r="AD189" s="375"/>
      <c r="AE189" s="375"/>
      <c r="AF189" s="375"/>
      <c r="AG189" s="375"/>
      <c r="AH189" s="375"/>
      <c r="AI189" s="375"/>
      <c r="AJ189" s="375"/>
      <c r="AK189" s="16"/>
    </row>
    <row r="190" spans="1:37">
      <c r="A190" s="375"/>
      <c r="B190" s="375"/>
      <c r="C190" s="375"/>
      <c r="D190" s="375"/>
      <c r="E190" s="375"/>
      <c r="F190" s="375"/>
      <c r="G190" s="375"/>
      <c r="H190" s="375"/>
      <c r="I190" s="375"/>
      <c r="J190" s="375"/>
      <c r="K190" s="375"/>
      <c r="L190" s="375"/>
      <c r="M190" s="375"/>
      <c r="N190" s="375"/>
      <c r="O190" s="375"/>
      <c r="P190" s="375"/>
      <c r="Q190" s="375"/>
      <c r="R190" s="16"/>
      <c r="U190" s="375"/>
      <c r="V190" s="375"/>
      <c r="W190" s="375"/>
      <c r="X190" s="375"/>
      <c r="Y190" s="375"/>
      <c r="Z190" s="375"/>
      <c r="AA190" s="375"/>
      <c r="AB190" s="375"/>
      <c r="AC190" s="375"/>
      <c r="AD190" s="375"/>
      <c r="AE190" s="375"/>
      <c r="AF190" s="375"/>
      <c r="AG190" s="375"/>
      <c r="AH190" s="375"/>
      <c r="AI190" s="375"/>
      <c r="AJ190" s="375"/>
      <c r="AK190" s="16"/>
    </row>
    <row r="191" spans="1:37">
      <c r="A191" s="375"/>
      <c r="B191" s="375"/>
      <c r="C191" s="375"/>
      <c r="D191" s="375"/>
      <c r="E191" s="375"/>
      <c r="F191" s="375"/>
      <c r="G191" s="375"/>
      <c r="H191" s="375"/>
      <c r="I191" s="375"/>
      <c r="J191" s="375"/>
      <c r="K191" s="375"/>
      <c r="L191" s="375"/>
      <c r="M191" s="375"/>
      <c r="N191" s="375"/>
      <c r="O191" s="375"/>
      <c r="P191" s="375"/>
      <c r="Q191" s="375"/>
      <c r="R191" s="16"/>
      <c r="U191" s="375"/>
      <c r="V191" s="375"/>
      <c r="W191" s="375"/>
      <c r="X191" s="375"/>
      <c r="Y191" s="375"/>
      <c r="Z191" s="375"/>
      <c r="AA191" s="375"/>
      <c r="AB191" s="375"/>
      <c r="AC191" s="375"/>
      <c r="AD191" s="375"/>
      <c r="AE191" s="375"/>
      <c r="AF191" s="375"/>
      <c r="AG191" s="375"/>
      <c r="AH191" s="375"/>
      <c r="AI191" s="375"/>
      <c r="AJ191" s="375"/>
      <c r="AK191" s="16"/>
    </row>
    <row r="192" spans="1:37">
      <c r="A192" s="506"/>
      <c r="B192" s="506"/>
      <c r="C192" s="375"/>
      <c r="D192" s="375"/>
      <c r="E192" s="375"/>
      <c r="F192" s="375"/>
      <c r="G192" s="375"/>
      <c r="H192" s="375"/>
      <c r="I192" s="375"/>
      <c r="J192" s="375"/>
      <c r="K192" s="375"/>
      <c r="L192" s="375"/>
      <c r="M192" s="375"/>
      <c r="N192" s="375"/>
      <c r="O192" s="375"/>
      <c r="P192" s="375"/>
      <c r="Q192" s="375"/>
      <c r="R192" s="16"/>
      <c r="U192" s="506"/>
      <c r="V192" s="375"/>
      <c r="W192" s="375"/>
      <c r="X192" s="375"/>
      <c r="Y192" s="375"/>
      <c r="Z192" s="375"/>
      <c r="AA192" s="375"/>
      <c r="AB192" s="375"/>
      <c r="AC192" s="375"/>
      <c r="AD192" s="375"/>
      <c r="AE192" s="375"/>
      <c r="AF192" s="375"/>
      <c r="AG192" s="375"/>
      <c r="AH192" s="375"/>
      <c r="AI192" s="375"/>
      <c r="AJ192" s="375"/>
      <c r="AK192" s="16"/>
    </row>
    <row r="193" spans="1:37">
      <c r="A193" s="375"/>
      <c r="B193" s="375"/>
      <c r="C193" s="375"/>
      <c r="D193" s="375"/>
      <c r="E193" s="375"/>
      <c r="F193" s="375"/>
      <c r="G193" s="375"/>
      <c r="H193" s="375"/>
      <c r="I193" s="375"/>
      <c r="J193" s="375"/>
      <c r="K193" s="375"/>
      <c r="L193" s="375"/>
      <c r="M193" s="375"/>
      <c r="N193" s="375"/>
      <c r="O193" s="375"/>
      <c r="P193" s="375"/>
      <c r="Q193" s="375"/>
      <c r="R193" s="16"/>
      <c r="U193" s="375"/>
      <c r="V193" s="375"/>
      <c r="W193" s="375"/>
      <c r="X193" s="375"/>
      <c r="Y193" s="375"/>
      <c r="Z193" s="375"/>
      <c r="AA193" s="375"/>
      <c r="AB193" s="375"/>
      <c r="AC193" s="375"/>
      <c r="AD193" s="375"/>
      <c r="AE193" s="375"/>
      <c r="AF193" s="375"/>
      <c r="AG193" s="375"/>
      <c r="AH193" s="375"/>
      <c r="AI193" s="375"/>
      <c r="AJ193" s="375"/>
      <c r="AK193" s="16"/>
    </row>
    <row r="194" spans="1:37">
      <c r="A194" s="375"/>
      <c r="B194" s="375"/>
      <c r="C194" s="375"/>
      <c r="D194" s="375"/>
      <c r="E194" s="375"/>
      <c r="F194" s="375"/>
      <c r="G194" s="375"/>
      <c r="H194" s="375"/>
      <c r="I194" s="375"/>
      <c r="J194" s="375"/>
      <c r="K194" s="375"/>
      <c r="L194" s="375"/>
      <c r="M194" s="375"/>
      <c r="N194" s="375"/>
      <c r="O194" s="375"/>
      <c r="P194" s="375"/>
      <c r="Q194" s="16"/>
      <c r="R194" s="375"/>
      <c r="U194" s="375"/>
      <c r="V194" s="375"/>
      <c r="W194" s="375"/>
      <c r="X194" s="375"/>
      <c r="Y194" s="375"/>
      <c r="Z194" s="375"/>
      <c r="AA194" s="375"/>
      <c r="AB194" s="375"/>
      <c r="AC194" s="375"/>
      <c r="AD194" s="375"/>
      <c r="AE194" s="375"/>
      <c r="AF194" s="375"/>
      <c r="AG194" s="375"/>
      <c r="AH194" s="375"/>
      <c r="AI194" s="375"/>
      <c r="AJ194" s="16"/>
      <c r="AK194" s="375"/>
    </row>
    <row r="195" spans="1:37">
      <c r="A195" s="375"/>
      <c r="B195" s="375"/>
      <c r="C195" s="375"/>
      <c r="D195" s="375"/>
      <c r="E195" s="375"/>
      <c r="F195" s="375"/>
      <c r="G195" s="375"/>
      <c r="H195" s="375"/>
      <c r="I195" s="375"/>
      <c r="J195" s="375"/>
      <c r="K195" s="375"/>
      <c r="L195" s="375"/>
      <c r="M195" s="375"/>
      <c r="N195" s="375"/>
      <c r="O195" s="375"/>
      <c r="P195" s="375"/>
      <c r="Q195" s="375"/>
      <c r="R195" s="16"/>
      <c r="U195" s="375"/>
      <c r="V195" s="375"/>
      <c r="W195" s="375"/>
      <c r="X195" s="375"/>
      <c r="Y195" s="375"/>
      <c r="Z195" s="375"/>
      <c r="AA195" s="375"/>
      <c r="AB195" s="375"/>
      <c r="AC195" s="375"/>
      <c r="AD195" s="375"/>
      <c r="AE195" s="375"/>
      <c r="AF195" s="375"/>
      <c r="AG195" s="375"/>
      <c r="AH195" s="375"/>
      <c r="AI195" s="375"/>
      <c r="AJ195" s="375"/>
      <c r="AK195" s="16"/>
    </row>
    <row r="196" spans="1:37">
      <c r="A196" s="375"/>
      <c r="B196" s="375"/>
      <c r="C196" s="375"/>
      <c r="D196" s="375"/>
      <c r="E196" s="375"/>
      <c r="F196" s="375"/>
      <c r="G196" s="375"/>
      <c r="H196" s="375"/>
      <c r="I196" s="375"/>
      <c r="J196" s="375"/>
      <c r="K196" s="375"/>
      <c r="L196" s="375"/>
      <c r="M196" s="375"/>
      <c r="N196" s="375"/>
      <c r="O196" s="375"/>
      <c r="P196" s="375"/>
      <c r="Q196" s="375"/>
      <c r="R196" s="16"/>
      <c r="U196" s="375"/>
      <c r="V196" s="375"/>
      <c r="W196" s="375"/>
      <c r="X196" s="375"/>
      <c r="Y196" s="375"/>
      <c r="Z196" s="375"/>
      <c r="AA196" s="375"/>
      <c r="AB196" s="375"/>
      <c r="AC196" s="375"/>
      <c r="AD196" s="375"/>
      <c r="AE196" s="375"/>
      <c r="AF196" s="375"/>
      <c r="AG196" s="375"/>
      <c r="AH196" s="375"/>
      <c r="AI196" s="375"/>
      <c r="AJ196" s="375"/>
      <c r="AK196" s="16"/>
    </row>
    <row r="197" spans="1:37">
      <c r="A197" s="375"/>
      <c r="B197" s="375"/>
      <c r="C197" s="375"/>
      <c r="D197" s="375"/>
      <c r="E197" s="375"/>
      <c r="F197" s="375"/>
      <c r="G197" s="375"/>
      <c r="H197" s="375"/>
      <c r="I197" s="375"/>
      <c r="J197" s="375"/>
      <c r="K197" s="375"/>
      <c r="L197" s="375"/>
      <c r="M197" s="375"/>
      <c r="N197" s="375"/>
      <c r="O197" s="375"/>
      <c r="P197" s="375"/>
      <c r="Q197" s="375"/>
      <c r="R197" s="16"/>
      <c r="U197" s="375"/>
      <c r="V197" s="375"/>
      <c r="W197" s="375"/>
      <c r="X197" s="375"/>
      <c r="Y197" s="375"/>
      <c r="Z197" s="375"/>
      <c r="AA197" s="375"/>
      <c r="AB197" s="375"/>
      <c r="AC197" s="375"/>
      <c r="AD197" s="375"/>
      <c r="AE197" s="375"/>
      <c r="AF197" s="375"/>
      <c r="AG197" s="375"/>
      <c r="AH197" s="375"/>
      <c r="AI197" s="375"/>
      <c r="AJ197" s="375"/>
      <c r="AK197" s="16"/>
    </row>
    <row r="198" spans="1:37">
      <c r="A198" s="506"/>
      <c r="B198" s="506"/>
      <c r="C198" s="375"/>
      <c r="D198" s="375"/>
      <c r="E198" s="375"/>
      <c r="F198" s="375"/>
      <c r="G198" s="375"/>
      <c r="H198" s="375"/>
      <c r="I198" s="375"/>
      <c r="J198" s="375"/>
      <c r="K198" s="375"/>
      <c r="L198" s="375"/>
      <c r="M198" s="375"/>
      <c r="N198" s="375"/>
      <c r="O198" s="375"/>
      <c r="P198" s="375"/>
      <c r="Q198" s="375"/>
      <c r="R198" s="16"/>
      <c r="U198" s="506"/>
      <c r="V198" s="375"/>
      <c r="W198" s="375"/>
      <c r="X198" s="375"/>
      <c r="Y198" s="375"/>
      <c r="Z198" s="375"/>
      <c r="AA198" s="375"/>
      <c r="AB198" s="375"/>
      <c r="AC198" s="375"/>
      <c r="AD198" s="375"/>
      <c r="AE198" s="375"/>
      <c r="AF198" s="375"/>
      <c r="AG198" s="375"/>
      <c r="AH198" s="375"/>
      <c r="AI198" s="375"/>
      <c r="AJ198" s="375"/>
      <c r="AK198" s="16"/>
    </row>
    <row r="199" spans="1:37">
      <c r="A199" s="375"/>
      <c r="B199" s="375"/>
      <c r="C199" s="375"/>
      <c r="D199" s="375"/>
      <c r="E199" s="375"/>
      <c r="F199" s="375"/>
      <c r="G199" s="375"/>
      <c r="H199" s="375"/>
      <c r="I199" s="375"/>
      <c r="J199" s="375"/>
      <c r="K199" s="375"/>
      <c r="L199" s="375"/>
      <c r="M199" s="375"/>
      <c r="N199" s="375"/>
      <c r="O199" s="375"/>
      <c r="P199" s="375"/>
      <c r="Q199" s="375"/>
      <c r="R199" s="16"/>
      <c r="U199" s="375"/>
      <c r="V199" s="375"/>
      <c r="W199" s="375"/>
      <c r="X199" s="375"/>
      <c r="Y199" s="375"/>
      <c r="Z199" s="375"/>
      <c r="AA199" s="375"/>
      <c r="AB199" s="375"/>
      <c r="AC199" s="375"/>
      <c r="AD199" s="375"/>
      <c r="AE199" s="375"/>
      <c r="AF199" s="375"/>
      <c r="AG199" s="375"/>
      <c r="AH199" s="375"/>
      <c r="AI199" s="375"/>
      <c r="AJ199" s="375"/>
      <c r="AK199" s="16"/>
    </row>
    <row r="200" spans="1:37">
      <c r="A200" s="375"/>
      <c r="B200" s="375"/>
      <c r="C200" s="375"/>
      <c r="D200" s="375"/>
      <c r="E200" s="375"/>
      <c r="F200" s="375"/>
      <c r="G200" s="375"/>
      <c r="H200" s="375"/>
      <c r="I200" s="375"/>
      <c r="J200" s="375"/>
      <c r="K200" s="375"/>
      <c r="L200" s="375"/>
      <c r="M200" s="375"/>
      <c r="N200" s="375"/>
      <c r="O200" s="375"/>
      <c r="P200" s="375"/>
      <c r="Q200" s="16"/>
      <c r="R200" s="375"/>
      <c r="U200" s="375"/>
      <c r="V200" s="375"/>
      <c r="W200" s="375"/>
      <c r="X200" s="375"/>
      <c r="Y200" s="375"/>
      <c r="Z200" s="375"/>
      <c r="AA200" s="375"/>
      <c r="AB200" s="375"/>
      <c r="AC200" s="375"/>
      <c r="AD200" s="375"/>
      <c r="AE200" s="375"/>
      <c r="AF200" s="375"/>
      <c r="AG200" s="375"/>
      <c r="AH200" s="375"/>
      <c r="AI200" s="375"/>
      <c r="AJ200" s="16"/>
      <c r="AK200" s="375"/>
    </row>
    <row r="201" spans="1:37">
      <c r="A201" s="375"/>
      <c r="B201" s="375"/>
      <c r="C201" s="375"/>
      <c r="D201" s="375"/>
      <c r="E201" s="375"/>
      <c r="F201" s="375"/>
      <c r="G201" s="375"/>
      <c r="H201" s="375"/>
      <c r="I201" s="375"/>
      <c r="J201" s="375"/>
      <c r="K201" s="375"/>
      <c r="L201" s="375"/>
      <c r="M201" s="375"/>
      <c r="N201" s="375"/>
      <c r="O201" s="375"/>
      <c r="P201" s="375"/>
      <c r="Q201" s="375"/>
      <c r="R201" s="16"/>
      <c r="U201" s="375"/>
      <c r="V201" s="375"/>
      <c r="W201" s="375"/>
      <c r="X201" s="375"/>
      <c r="Y201" s="375"/>
      <c r="Z201" s="375"/>
      <c r="AA201" s="375"/>
      <c r="AB201" s="375"/>
      <c r="AC201" s="375"/>
      <c r="AD201" s="375"/>
      <c r="AE201" s="375"/>
      <c r="AF201" s="375"/>
      <c r="AG201" s="375"/>
      <c r="AH201" s="375"/>
      <c r="AI201" s="375"/>
      <c r="AJ201" s="375"/>
      <c r="AK201" s="16"/>
    </row>
    <row r="202" spans="1:37">
      <c r="A202" s="375"/>
      <c r="B202" s="375"/>
      <c r="C202" s="375"/>
      <c r="D202" s="375"/>
      <c r="E202" s="375"/>
      <c r="F202" s="375"/>
      <c r="G202" s="375"/>
      <c r="H202" s="375"/>
      <c r="I202" s="375"/>
      <c r="J202" s="375"/>
      <c r="K202" s="375"/>
      <c r="L202" s="375"/>
      <c r="M202" s="375"/>
      <c r="N202" s="375"/>
      <c r="O202" s="375"/>
      <c r="P202" s="375"/>
      <c r="Q202" s="375"/>
      <c r="R202" s="16"/>
      <c r="U202" s="375"/>
      <c r="V202" s="375"/>
      <c r="W202" s="375"/>
      <c r="X202" s="375"/>
      <c r="Y202" s="375"/>
      <c r="Z202" s="375"/>
      <c r="AA202" s="375"/>
      <c r="AB202" s="375"/>
      <c r="AC202" s="375"/>
      <c r="AD202" s="375"/>
      <c r="AE202" s="375"/>
      <c r="AF202" s="375"/>
      <c r="AG202" s="375"/>
      <c r="AH202" s="375"/>
      <c r="AI202" s="375"/>
      <c r="AJ202" s="375"/>
      <c r="AK202" s="16"/>
    </row>
    <row r="203" spans="1:37">
      <c r="A203" s="375"/>
      <c r="B203" s="375"/>
      <c r="C203" s="375"/>
      <c r="D203" s="375"/>
      <c r="E203" s="375"/>
      <c r="F203" s="375"/>
      <c r="G203" s="375"/>
      <c r="H203" s="375"/>
      <c r="I203" s="375"/>
      <c r="J203" s="375"/>
      <c r="K203" s="375"/>
      <c r="L203" s="375"/>
      <c r="M203" s="375"/>
      <c r="N203" s="375"/>
      <c r="O203" s="375"/>
      <c r="P203" s="375"/>
      <c r="Q203" s="375"/>
      <c r="R203" s="16"/>
      <c r="U203" s="375"/>
      <c r="V203" s="375"/>
      <c r="W203" s="375"/>
      <c r="X203" s="375"/>
      <c r="Y203" s="375"/>
      <c r="Z203" s="375"/>
      <c r="AA203" s="375"/>
      <c r="AB203" s="375"/>
      <c r="AC203" s="375"/>
      <c r="AD203" s="375"/>
      <c r="AE203" s="375"/>
      <c r="AF203" s="375"/>
      <c r="AG203" s="375"/>
      <c r="AH203" s="375"/>
      <c r="AI203" s="375"/>
      <c r="AJ203" s="375"/>
      <c r="AK203" s="16"/>
    </row>
    <row r="204" spans="1:37">
      <c r="A204" s="506"/>
      <c r="B204" s="506"/>
      <c r="C204" s="375"/>
      <c r="D204" s="375"/>
      <c r="E204" s="375"/>
      <c r="F204" s="375"/>
      <c r="G204" s="375"/>
      <c r="H204" s="375"/>
      <c r="I204" s="375"/>
      <c r="J204" s="375"/>
      <c r="K204" s="375"/>
      <c r="L204" s="375"/>
      <c r="M204" s="375"/>
      <c r="N204" s="375"/>
      <c r="O204" s="375"/>
      <c r="P204" s="375"/>
      <c r="Q204" s="375"/>
      <c r="R204" s="16"/>
      <c r="U204" s="506"/>
      <c r="V204" s="375"/>
      <c r="W204" s="375"/>
      <c r="X204" s="375"/>
      <c r="Y204" s="375"/>
      <c r="Z204" s="375"/>
      <c r="AA204" s="375"/>
      <c r="AB204" s="375"/>
      <c r="AC204" s="375"/>
      <c r="AD204" s="375"/>
      <c r="AE204" s="375"/>
      <c r="AF204" s="375"/>
      <c r="AG204" s="375"/>
      <c r="AH204" s="375"/>
      <c r="AI204" s="375"/>
      <c r="AJ204" s="375"/>
      <c r="AK204" s="16"/>
    </row>
    <row r="205" spans="1:37">
      <c r="A205" s="375"/>
      <c r="B205" s="375"/>
      <c r="C205" s="375"/>
      <c r="D205" s="375"/>
      <c r="E205" s="375"/>
      <c r="F205" s="375"/>
      <c r="G205" s="375"/>
      <c r="H205" s="375"/>
      <c r="I205" s="375"/>
      <c r="J205" s="375"/>
      <c r="K205" s="375"/>
      <c r="L205" s="375"/>
      <c r="M205" s="375"/>
      <c r="N205" s="375"/>
      <c r="O205" s="375"/>
      <c r="P205" s="375"/>
      <c r="Q205" s="375"/>
      <c r="R205" s="16"/>
      <c r="U205" s="375"/>
      <c r="V205" s="375"/>
      <c r="W205" s="375"/>
      <c r="X205" s="375"/>
      <c r="Y205" s="375"/>
      <c r="Z205" s="375"/>
      <c r="AA205" s="375"/>
      <c r="AB205" s="375"/>
      <c r="AC205" s="375"/>
      <c r="AD205" s="375"/>
      <c r="AE205" s="375"/>
      <c r="AF205" s="375"/>
      <c r="AG205" s="375"/>
      <c r="AH205" s="375"/>
      <c r="AI205" s="375"/>
      <c r="AJ205" s="375"/>
      <c r="AK205" s="16"/>
    </row>
    <row r="206" spans="1:37">
      <c r="A206" s="375"/>
      <c r="B206" s="375"/>
      <c r="C206" s="375"/>
      <c r="D206" s="375"/>
      <c r="E206" s="375"/>
      <c r="F206" s="375"/>
      <c r="G206" s="375"/>
      <c r="H206" s="375"/>
      <c r="I206" s="375"/>
      <c r="J206" s="375"/>
      <c r="K206" s="375"/>
      <c r="L206" s="375"/>
      <c r="M206" s="375"/>
      <c r="N206" s="375"/>
      <c r="O206" s="375"/>
      <c r="P206" s="375"/>
      <c r="Q206" s="16"/>
      <c r="R206" s="375"/>
      <c r="U206" s="375"/>
      <c r="V206" s="375"/>
      <c r="W206" s="375"/>
      <c r="X206" s="375"/>
      <c r="Y206" s="375"/>
      <c r="Z206" s="375"/>
      <c r="AA206" s="375"/>
      <c r="AB206" s="375"/>
      <c r="AC206" s="375"/>
      <c r="AD206" s="375"/>
      <c r="AE206" s="375"/>
      <c r="AF206" s="375"/>
      <c r="AG206" s="375"/>
      <c r="AH206" s="375"/>
      <c r="AI206" s="375"/>
      <c r="AJ206" s="16"/>
      <c r="AK206" s="375"/>
    </row>
    <row r="207" spans="1:37">
      <c r="A207" s="375"/>
      <c r="B207" s="375"/>
      <c r="C207" s="375"/>
      <c r="D207" s="375"/>
      <c r="E207" s="375"/>
      <c r="F207" s="375"/>
      <c r="G207" s="375"/>
      <c r="H207" s="375"/>
      <c r="I207" s="375"/>
      <c r="J207" s="375"/>
      <c r="K207" s="375"/>
      <c r="L207" s="375"/>
      <c r="M207" s="375"/>
      <c r="N207" s="375"/>
      <c r="O207" s="375"/>
      <c r="P207" s="375"/>
      <c r="Q207" s="375"/>
      <c r="R207" s="16"/>
      <c r="U207" s="375"/>
      <c r="V207" s="375"/>
      <c r="W207" s="375"/>
      <c r="X207" s="375"/>
      <c r="Y207" s="375"/>
      <c r="Z207" s="375"/>
      <c r="AA207" s="375"/>
      <c r="AB207" s="375"/>
      <c r="AC207" s="375"/>
      <c r="AD207" s="375"/>
      <c r="AE207" s="375"/>
      <c r="AF207" s="375"/>
      <c r="AG207" s="375"/>
      <c r="AH207" s="375"/>
      <c r="AI207" s="375"/>
      <c r="AJ207" s="375"/>
      <c r="AK207" s="16"/>
    </row>
    <row r="208" spans="1:37">
      <c r="A208" s="375"/>
      <c r="B208" s="375"/>
      <c r="C208" s="375"/>
      <c r="D208" s="375"/>
      <c r="E208" s="375"/>
      <c r="F208" s="375"/>
      <c r="G208" s="375"/>
      <c r="H208" s="375"/>
      <c r="I208" s="375"/>
      <c r="J208" s="375"/>
      <c r="K208" s="375"/>
      <c r="L208" s="375"/>
      <c r="M208" s="375"/>
      <c r="N208" s="375"/>
      <c r="O208" s="375"/>
      <c r="P208" s="375"/>
      <c r="Q208" s="375"/>
      <c r="R208" s="16"/>
      <c r="U208" s="375"/>
      <c r="V208" s="375"/>
      <c r="W208" s="375"/>
      <c r="X208" s="375"/>
      <c r="Y208" s="375"/>
      <c r="Z208" s="375"/>
      <c r="AA208" s="375"/>
      <c r="AB208" s="375"/>
      <c r="AC208" s="375"/>
      <c r="AD208" s="375"/>
      <c r="AE208" s="375"/>
      <c r="AF208" s="375"/>
      <c r="AG208" s="375"/>
      <c r="AH208" s="375"/>
      <c r="AI208" s="375"/>
      <c r="AJ208" s="375"/>
      <c r="AK208" s="16"/>
    </row>
    <row r="209" spans="1:37">
      <c r="A209" s="375"/>
      <c r="B209" s="375"/>
      <c r="C209" s="375"/>
      <c r="D209" s="375"/>
      <c r="E209" s="375"/>
      <c r="F209" s="375"/>
      <c r="G209" s="375"/>
      <c r="H209" s="375"/>
      <c r="I209" s="375"/>
      <c r="J209" s="375"/>
      <c r="K209" s="375"/>
      <c r="L209" s="375"/>
      <c r="M209" s="375"/>
      <c r="N209" s="375"/>
      <c r="O209" s="375"/>
      <c r="P209" s="375"/>
      <c r="Q209" s="375"/>
      <c r="R209" s="16"/>
      <c r="U209" s="375"/>
      <c r="V209" s="375"/>
      <c r="W209" s="375"/>
      <c r="X209" s="375"/>
      <c r="Y209" s="375"/>
      <c r="Z209" s="375"/>
      <c r="AA209" s="375"/>
      <c r="AB209" s="375"/>
      <c r="AC209" s="375"/>
      <c r="AD209" s="375"/>
      <c r="AE209" s="375"/>
      <c r="AF209" s="375"/>
      <c r="AG209" s="375"/>
      <c r="AH209" s="375"/>
      <c r="AI209" s="375"/>
      <c r="AJ209" s="375"/>
      <c r="AK209" s="16"/>
    </row>
    <row r="210" spans="1:37">
      <c r="A210" s="506"/>
      <c r="B210" s="506"/>
      <c r="C210" s="375"/>
      <c r="D210" s="375"/>
      <c r="E210" s="375"/>
      <c r="F210" s="375"/>
      <c r="G210" s="375"/>
      <c r="H210" s="375"/>
      <c r="I210" s="375"/>
      <c r="J210" s="375"/>
      <c r="K210" s="375"/>
      <c r="L210" s="375"/>
      <c r="M210" s="375"/>
      <c r="N210" s="375"/>
      <c r="O210" s="375"/>
      <c r="P210" s="375"/>
      <c r="Q210" s="375"/>
      <c r="R210" s="16"/>
      <c r="U210" s="506"/>
      <c r="V210" s="375"/>
      <c r="W210" s="375"/>
      <c r="X210" s="375"/>
      <c r="Y210" s="375"/>
      <c r="Z210" s="375"/>
      <c r="AA210" s="375"/>
      <c r="AB210" s="375"/>
      <c r="AC210" s="375"/>
      <c r="AD210" s="375"/>
      <c r="AE210" s="375"/>
      <c r="AF210" s="375"/>
      <c r="AG210" s="375"/>
      <c r="AH210" s="375"/>
      <c r="AI210" s="375"/>
      <c r="AJ210" s="375"/>
      <c r="AK210" s="16"/>
    </row>
    <row r="211" spans="1:37">
      <c r="A211" s="375"/>
      <c r="B211" s="375"/>
      <c r="C211" s="375"/>
      <c r="D211" s="375"/>
      <c r="E211" s="375"/>
      <c r="F211" s="375"/>
      <c r="G211" s="375"/>
      <c r="H211" s="375"/>
      <c r="I211" s="375"/>
      <c r="J211" s="375"/>
      <c r="K211" s="375"/>
      <c r="L211" s="375"/>
      <c r="M211" s="375"/>
      <c r="N211" s="375"/>
      <c r="O211" s="375"/>
      <c r="P211" s="375"/>
      <c r="Q211" s="375"/>
      <c r="R211" s="16"/>
      <c r="U211" s="375"/>
      <c r="V211" s="375"/>
      <c r="W211" s="375"/>
      <c r="X211" s="375"/>
      <c r="Y211" s="375"/>
      <c r="Z211" s="375"/>
      <c r="AA211" s="375"/>
      <c r="AB211" s="375"/>
      <c r="AC211" s="375"/>
      <c r="AD211" s="375"/>
      <c r="AE211" s="375"/>
      <c r="AF211" s="375"/>
      <c r="AG211" s="375"/>
      <c r="AH211" s="375"/>
      <c r="AI211" s="375"/>
      <c r="AJ211" s="375"/>
      <c r="AK211" s="16"/>
    </row>
    <row r="212" spans="1:37">
      <c r="A212" s="375"/>
      <c r="B212" s="375"/>
      <c r="C212" s="375"/>
      <c r="D212" s="375"/>
      <c r="E212" s="375"/>
      <c r="F212" s="375"/>
      <c r="G212" s="375"/>
      <c r="H212" s="375"/>
      <c r="I212" s="375"/>
      <c r="J212" s="375"/>
      <c r="K212" s="375"/>
      <c r="L212" s="375"/>
      <c r="M212" s="375"/>
      <c r="N212" s="375"/>
      <c r="O212" s="375"/>
      <c r="P212" s="375"/>
      <c r="Q212" s="16"/>
      <c r="R212" s="375"/>
      <c r="U212" s="375"/>
      <c r="V212" s="375"/>
      <c r="W212" s="375"/>
      <c r="X212" s="375"/>
      <c r="Y212" s="375"/>
      <c r="Z212" s="375"/>
      <c r="AA212" s="375"/>
      <c r="AB212" s="375"/>
      <c r="AC212" s="375"/>
      <c r="AD212" s="375"/>
      <c r="AE212" s="375"/>
      <c r="AF212" s="375"/>
      <c r="AG212" s="375"/>
      <c r="AH212" s="375"/>
      <c r="AI212" s="375"/>
      <c r="AJ212" s="16"/>
      <c r="AK212" s="375"/>
    </row>
    <row r="213" spans="1:37">
      <c r="A213" s="375"/>
      <c r="B213" s="375"/>
      <c r="C213" s="375"/>
      <c r="D213" s="375"/>
      <c r="E213" s="375"/>
      <c r="F213" s="375"/>
      <c r="G213" s="375"/>
      <c r="H213" s="375"/>
      <c r="I213" s="375"/>
      <c r="J213" s="375"/>
      <c r="K213" s="375"/>
      <c r="L213" s="375"/>
      <c r="M213" s="375"/>
      <c r="N213" s="375"/>
      <c r="O213" s="375"/>
      <c r="P213" s="375"/>
      <c r="Q213" s="375"/>
      <c r="R213" s="16"/>
      <c r="U213" s="375"/>
      <c r="V213" s="375"/>
      <c r="W213" s="375"/>
      <c r="X213" s="375"/>
      <c r="Y213" s="375"/>
      <c r="Z213" s="375"/>
      <c r="AA213" s="375"/>
      <c r="AB213" s="375"/>
      <c r="AC213" s="375"/>
      <c r="AD213" s="375"/>
      <c r="AE213" s="375"/>
      <c r="AF213" s="375"/>
      <c r="AG213" s="375"/>
      <c r="AH213" s="375"/>
      <c r="AI213" s="375"/>
      <c r="AJ213" s="375"/>
      <c r="AK213" s="16"/>
    </row>
    <row r="214" spans="1:37">
      <c r="A214" s="375"/>
      <c r="B214" s="375"/>
      <c r="C214" s="375"/>
      <c r="D214" s="375"/>
      <c r="E214" s="375"/>
      <c r="F214" s="375"/>
      <c r="G214" s="375"/>
      <c r="H214" s="375"/>
      <c r="I214" s="375"/>
      <c r="J214" s="375"/>
      <c r="K214" s="375"/>
      <c r="L214" s="375"/>
      <c r="M214" s="375"/>
      <c r="N214" s="375"/>
      <c r="O214" s="375"/>
      <c r="P214" s="375"/>
      <c r="Q214" s="375"/>
      <c r="R214" s="16"/>
      <c r="U214" s="375"/>
      <c r="V214" s="375"/>
      <c r="W214" s="375"/>
      <c r="X214" s="375"/>
      <c r="Y214" s="375"/>
      <c r="Z214" s="375"/>
      <c r="AA214" s="375"/>
      <c r="AB214" s="375"/>
      <c r="AC214" s="375"/>
      <c r="AD214" s="375"/>
      <c r="AE214" s="375"/>
      <c r="AF214" s="375"/>
      <c r="AG214" s="375"/>
      <c r="AH214" s="375"/>
      <c r="AI214" s="375"/>
      <c r="AJ214" s="375"/>
      <c r="AK214" s="16"/>
    </row>
    <row r="215" spans="1:37">
      <c r="A215" s="375"/>
      <c r="B215" s="375"/>
      <c r="C215" s="375"/>
      <c r="D215" s="375"/>
      <c r="E215" s="375"/>
      <c r="F215" s="375"/>
      <c r="G215" s="375"/>
      <c r="H215" s="375"/>
      <c r="I215" s="375"/>
      <c r="J215" s="375"/>
      <c r="K215" s="375"/>
      <c r="L215" s="375"/>
      <c r="M215" s="375"/>
      <c r="N215" s="375"/>
      <c r="O215" s="375"/>
      <c r="P215" s="375"/>
      <c r="Q215" s="375"/>
      <c r="R215" s="16"/>
      <c r="U215" s="375"/>
      <c r="V215" s="375"/>
      <c r="W215" s="375"/>
      <c r="X215" s="375"/>
      <c r="Y215" s="375"/>
      <c r="Z215" s="375"/>
      <c r="AA215" s="375"/>
      <c r="AB215" s="375"/>
      <c r="AC215" s="375"/>
      <c r="AD215" s="375"/>
      <c r="AE215" s="375"/>
      <c r="AF215" s="375"/>
      <c r="AG215" s="375"/>
      <c r="AH215" s="375"/>
      <c r="AI215" s="375"/>
      <c r="AJ215" s="375"/>
      <c r="AK215" s="16"/>
    </row>
    <row r="216" spans="1:37">
      <c r="A216" s="506"/>
      <c r="B216" s="506"/>
      <c r="C216" s="375"/>
      <c r="D216" s="375"/>
      <c r="E216" s="375"/>
      <c r="F216" s="375"/>
      <c r="G216" s="375"/>
      <c r="H216" s="375"/>
      <c r="I216" s="375"/>
      <c r="J216" s="375"/>
      <c r="K216" s="375"/>
      <c r="L216" s="375"/>
      <c r="M216" s="375"/>
      <c r="N216" s="375"/>
      <c r="O216" s="375"/>
      <c r="P216" s="375"/>
      <c r="Q216" s="375"/>
      <c r="R216" s="16"/>
      <c r="U216" s="506"/>
      <c r="V216" s="375"/>
      <c r="W216" s="375"/>
      <c r="X216" s="375"/>
      <c r="Y216" s="375"/>
      <c r="Z216" s="375"/>
      <c r="AA216" s="375"/>
      <c r="AB216" s="375"/>
      <c r="AC216" s="375"/>
      <c r="AD216" s="375"/>
      <c r="AE216" s="375"/>
      <c r="AF216" s="375"/>
      <c r="AG216" s="375"/>
      <c r="AH216" s="375"/>
      <c r="AI216" s="375"/>
      <c r="AJ216" s="375"/>
      <c r="AK216" s="16"/>
    </row>
    <row r="217" spans="1:37">
      <c r="A217" s="375"/>
      <c r="B217" s="375"/>
      <c r="C217" s="375"/>
      <c r="D217" s="375"/>
      <c r="E217" s="375"/>
      <c r="F217" s="375"/>
      <c r="G217" s="375"/>
      <c r="H217" s="375"/>
      <c r="I217" s="375"/>
      <c r="J217" s="375"/>
      <c r="K217" s="375"/>
      <c r="L217" s="375"/>
      <c r="M217" s="375"/>
      <c r="N217" s="375"/>
      <c r="O217" s="375"/>
      <c r="P217" s="375"/>
      <c r="Q217" s="375"/>
      <c r="R217" s="16"/>
      <c r="U217" s="375"/>
      <c r="V217" s="375"/>
      <c r="W217" s="375"/>
      <c r="X217" s="375"/>
      <c r="Y217" s="375"/>
      <c r="Z217" s="375"/>
      <c r="AA217" s="375"/>
      <c r="AB217" s="375"/>
      <c r="AC217" s="375"/>
      <c r="AD217" s="375"/>
      <c r="AE217" s="375"/>
      <c r="AF217" s="375"/>
      <c r="AG217" s="375"/>
      <c r="AH217" s="375"/>
      <c r="AI217" s="375"/>
      <c r="AJ217" s="375"/>
      <c r="AK217" s="16"/>
    </row>
    <row r="218" spans="1:37">
      <c r="A218" s="375"/>
      <c r="B218" s="375"/>
      <c r="C218" s="375"/>
      <c r="D218" s="375"/>
      <c r="E218" s="375"/>
      <c r="F218" s="375"/>
      <c r="G218" s="375"/>
      <c r="H218" s="375"/>
      <c r="I218" s="375"/>
      <c r="J218" s="375"/>
      <c r="K218" s="375"/>
      <c r="L218" s="375"/>
      <c r="M218" s="375"/>
      <c r="N218" s="375"/>
      <c r="O218" s="375"/>
      <c r="P218" s="375"/>
      <c r="Q218" s="16"/>
      <c r="R218" s="375"/>
      <c r="U218" s="375"/>
      <c r="V218" s="375"/>
      <c r="W218" s="375"/>
      <c r="X218" s="375"/>
      <c r="Y218" s="375"/>
      <c r="Z218" s="375"/>
      <c r="AA218" s="375"/>
      <c r="AB218" s="375"/>
      <c r="AC218" s="375"/>
      <c r="AD218" s="375"/>
      <c r="AE218" s="375"/>
      <c r="AF218" s="375"/>
      <c r="AG218" s="375"/>
      <c r="AH218" s="375"/>
      <c r="AI218" s="375"/>
      <c r="AJ218" s="16"/>
      <c r="AK218" s="375"/>
    </row>
    <row r="219" spans="1:37">
      <c r="A219" s="375"/>
      <c r="B219" s="375"/>
      <c r="C219" s="375"/>
      <c r="D219" s="375"/>
      <c r="E219" s="375"/>
      <c r="F219" s="375"/>
      <c r="G219" s="375"/>
      <c r="H219" s="375"/>
      <c r="I219" s="375"/>
      <c r="J219" s="375"/>
      <c r="K219" s="375"/>
      <c r="L219" s="375"/>
      <c r="M219" s="375"/>
      <c r="N219" s="375"/>
      <c r="O219" s="375"/>
      <c r="P219" s="375"/>
      <c r="Q219" s="375"/>
      <c r="R219" s="16"/>
      <c r="U219" s="375"/>
      <c r="V219" s="375"/>
      <c r="W219" s="375"/>
      <c r="X219" s="375"/>
      <c r="Y219" s="375"/>
      <c r="Z219" s="375"/>
      <c r="AA219" s="375"/>
      <c r="AB219" s="375"/>
      <c r="AC219" s="375"/>
      <c r="AD219" s="375"/>
      <c r="AE219" s="375"/>
      <c r="AF219" s="375"/>
      <c r="AG219" s="375"/>
      <c r="AH219" s="375"/>
      <c r="AI219" s="375"/>
      <c r="AJ219" s="375"/>
      <c r="AK219" s="16"/>
    </row>
    <row r="220" spans="1:37">
      <c r="A220" s="375"/>
      <c r="B220" s="375"/>
      <c r="C220" s="375"/>
      <c r="D220" s="375"/>
      <c r="E220" s="375"/>
      <c r="F220" s="375"/>
      <c r="G220" s="375"/>
      <c r="H220" s="375"/>
      <c r="I220" s="375"/>
      <c r="J220" s="375"/>
      <c r="K220" s="375"/>
      <c r="L220" s="375"/>
      <c r="M220" s="375"/>
      <c r="N220" s="375"/>
      <c r="O220" s="375"/>
      <c r="P220" s="375"/>
      <c r="Q220" s="375"/>
      <c r="R220" s="16"/>
      <c r="U220" s="375"/>
      <c r="V220" s="375"/>
      <c r="W220" s="375"/>
      <c r="X220" s="375"/>
      <c r="Y220" s="375"/>
      <c r="Z220" s="375"/>
      <c r="AA220" s="375"/>
      <c r="AB220" s="375"/>
      <c r="AC220" s="375"/>
      <c r="AD220" s="375"/>
      <c r="AE220" s="375"/>
      <c r="AF220" s="375"/>
      <c r="AG220" s="375"/>
      <c r="AH220" s="375"/>
      <c r="AI220" s="375"/>
      <c r="AJ220" s="375"/>
      <c r="AK220" s="16"/>
    </row>
    <row r="221" spans="1:37">
      <c r="A221" s="375"/>
      <c r="B221" s="375"/>
      <c r="C221" s="375"/>
      <c r="D221" s="375"/>
      <c r="E221" s="375"/>
      <c r="F221" s="375"/>
      <c r="G221" s="375"/>
      <c r="H221" s="375"/>
      <c r="I221" s="375"/>
      <c r="J221" s="375"/>
      <c r="K221" s="375"/>
      <c r="L221" s="375"/>
      <c r="M221" s="375"/>
      <c r="N221" s="375"/>
      <c r="O221" s="375"/>
      <c r="P221" s="375"/>
      <c r="Q221" s="375"/>
      <c r="R221" s="16"/>
      <c r="U221" s="375"/>
      <c r="V221" s="375"/>
      <c r="W221" s="375"/>
      <c r="X221" s="375"/>
      <c r="Y221" s="375"/>
      <c r="Z221" s="375"/>
      <c r="AA221" s="375"/>
      <c r="AB221" s="375"/>
      <c r="AC221" s="375"/>
      <c r="AD221" s="375"/>
      <c r="AE221" s="375"/>
      <c r="AF221" s="375"/>
      <c r="AG221" s="375"/>
      <c r="AH221" s="375"/>
      <c r="AI221" s="375"/>
      <c r="AJ221" s="375"/>
      <c r="AK221" s="16"/>
    </row>
    <row r="222" spans="1:37">
      <c r="A222" s="506"/>
      <c r="B222" s="506"/>
      <c r="C222" s="375"/>
      <c r="D222" s="375"/>
      <c r="E222" s="375"/>
      <c r="F222" s="375"/>
      <c r="G222" s="375"/>
      <c r="H222" s="375"/>
      <c r="I222" s="375"/>
      <c r="J222" s="375"/>
      <c r="K222" s="375"/>
      <c r="L222" s="375"/>
      <c r="M222" s="375"/>
      <c r="N222" s="375"/>
      <c r="O222" s="375"/>
      <c r="P222" s="375"/>
      <c r="Q222" s="375"/>
      <c r="R222" s="16"/>
      <c r="U222" s="506"/>
      <c r="V222" s="375"/>
      <c r="W222" s="375"/>
      <c r="X222" s="375"/>
      <c r="Y222" s="375"/>
      <c r="Z222" s="375"/>
      <c r="AA222" s="375"/>
      <c r="AB222" s="375"/>
      <c r="AC222" s="375"/>
      <c r="AD222" s="375"/>
      <c r="AE222" s="375"/>
      <c r="AF222" s="375"/>
      <c r="AG222" s="375"/>
      <c r="AH222" s="375"/>
      <c r="AI222" s="375"/>
      <c r="AJ222" s="375"/>
      <c r="AK222" s="16"/>
    </row>
    <row r="223" spans="1:37">
      <c r="A223" s="375"/>
      <c r="B223" s="375"/>
      <c r="C223" s="375"/>
      <c r="D223" s="375"/>
      <c r="E223" s="375"/>
      <c r="F223" s="375"/>
      <c r="G223" s="375"/>
      <c r="H223" s="375"/>
      <c r="I223" s="375"/>
      <c r="J223" s="375"/>
      <c r="K223" s="375"/>
      <c r="L223" s="375"/>
      <c r="M223" s="375"/>
      <c r="N223" s="375"/>
      <c r="O223" s="375"/>
      <c r="P223" s="375"/>
      <c r="Q223" s="375"/>
      <c r="R223" s="16"/>
      <c r="U223" s="375"/>
      <c r="V223" s="375"/>
      <c r="W223" s="375"/>
      <c r="X223" s="375"/>
      <c r="Y223" s="375"/>
      <c r="Z223" s="375"/>
      <c r="AA223" s="375"/>
      <c r="AB223" s="375"/>
      <c r="AC223" s="375"/>
      <c r="AD223" s="375"/>
      <c r="AE223" s="375"/>
      <c r="AF223" s="375"/>
      <c r="AG223" s="375"/>
      <c r="AH223" s="375"/>
      <c r="AI223" s="375"/>
      <c r="AJ223" s="375"/>
      <c r="AK223" s="16"/>
    </row>
    <row r="224" spans="1:37">
      <c r="A224" s="375"/>
      <c r="B224" s="375"/>
      <c r="C224" s="375"/>
      <c r="D224" s="375"/>
      <c r="E224" s="375"/>
      <c r="F224" s="375"/>
      <c r="G224" s="375"/>
      <c r="H224" s="375"/>
      <c r="I224" s="375"/>
      <c r="J224" s="375"/>
      <c r="K224" s="375"/>
      <c r="L224" s="375"/>
      <c r="M224" s="375"/>
      <c r="N224" s="375"/>
      <c r="O224" s="375"/>
      <c r="P224" s="375"/>
      <c r="Q224" s="16"/>
      <c r="R224" s="375"/>
      <c r="U224" s="375"/>
      <c r="V224" s="375"/>
      <c r="W224" s="375"/>
      <c r="X224" s="375"/>
      <c r="Y224" s="375"/>
      <c r="Z224" s="375"/>
      <c r="AA224" s="375"/>
      <c r="AB224" s="375"/>
      <c r="AC224" s="375"/>
      <c r="AD224" s="375"/>
      <c r="AE224" s="375"/>
      <c r="AF224" s="375"/>
      <c r="AG224" s="375"/>
      <c r="AH224" s="375"/>
      <c r="AI224" s="375"/>
      <c r="AJ224" s="16"/>
      <c r="AK224" s="375"/>
    </row>
    <row r="225" spans="1:37">
      <c r="A225" s="375"/>
      <c r="B225" s="375"/>
      <c r="C225" s="375"/>
      <c r="D225" s="375"/>
      <c r="E225" s="375"/>
      <c r="F225" s="375"/>
      <c r="G225" s="375"/>
      <c r="H225" s="375"/>
      <c r="I225" s="375"/>
      <c r="J225" s="375"/>
      <c r="K225" s="375"/>
      <c r="L225" s="375"/>
      <c r="M225" s="375"/>
      <c r="N225" s="375"/>
      <c r="O225" s="375"/>
      <c r="P225" s="375"/>
      <c r="Q225" s="375"/>
      <c r="R225" s="16"/>
      <c r="U225" s="375"/>
      <c r="V225" s="375"/>
      <c r="W225" s="375"/>
      <c r="X225" s="375"/>
      <c r="Y225" s="375"/>
      <c r="Z225" s="375"/>
      <c r="AA225" s="375"/>
      <c r="AB225" s="375"/>
      <c r="AC225" s="375"/>
      <c r="AD225" s="375"/>
      <c r="AE225" s="375"/>
      <c r="AF225" s="375"/>
      <c r="AG225" s="375"/>
      <c r="AH225" s="375"/>
      <c r="AI225" s="375"/>
      <c r="AJ225" s="375"/>
      <c r="AK225" s="16"/>
    </row>
    <row r="226" spans="1:37">
      <c r="A226" s="375"/>
      <c r="B226" s="375"/>
      <c r="C226" s="375"/>
      <c r="D226" s="375"/>
      <c r="E226" s="375"/>
      <c r="F226" s="375"/>
      <c r="G226" s="375"/>
      <c r="H226" s="375"/>
      <c r="I226" s="375"/>
      <c r="J226" s="375"/>
      <c r="K226" s="375"/>
      <c r="L226" s="375"/>
      <c r="M226" s="375"/>
      <c r="N226" s="375"/>
      <c r="O226" s="375"/>
      <c r="P226" s="375"/>
      <c r="Q226" s="375"/>
      <c r="R226" s="16"/>
      <c r="U226" s="375"/>
      <c r="V226" s="375"/>
      <c r="W226" s="375"/>
      <c r="X226" s="375"/>
      <c r="Y226" s="375"/>
      <c r="Z226" s="375"/>
      <c r="AA226" s="375"/>
      <c r="AB226" s="375"/>
      <c r="AC226" s="375"/>
      <c r="AD226" s="375"/>
      <c r="AE226" s="375"/>
      <c r="AF226" s="375"/>
      <c r="AG226" s="375"/>
      <c r="AH226" s="375"/>
      <c r="AI226" s="375"/>
      <c r="AJ226" s="375"/>
      <c r="AK226" s="16"/>
    </row>
    <row r="227" spans="1:37">
      <c r="A227" s="375"/>
      <c r="B227" s="375"/>
      <c r="C227" s="375"/>
      <c r="D227" s="375"/>
      <c r="E227" s="375"/>
      <c r="F227" s="375"/>
      <c r="G227" s="375"/>
      <c r="H227" s="375"/>
      <c r="I227" s="375"/>
      <c r="J227" s="375"/>
      <c r="K227" s="375"/>
      <c r="L227" s="375"/>
      <c r="M227" s="375"/>
      <c r="N227" s="375"/>
      <c r="O227" s="375"/>
      <c r="P227" s="375"/>
      <c r="Q227" s="375"/>
      <c r="R227" s="16"/>
      <c r="U227" s="375"/>
      <c r="V227" s="375"/>
      <c r="W227" s="375"/>
      <c r="X227" s="375"/>
      <c r="Y227" s="375"/>
      <c r="Z227" s="375"/>
      <c r="AA227" s="375"/>
      <c r="AB227" s="375"/>
      <c r="AC227" s="375"/>
      <c r="AD227" s="375"/>
      <c r="AE227" s="375"/>
      <c r="AF227" s="375"/>
      <c r="AG227" s="375"/>
      <c r="AH227" s="375"/>
      <c r="AI227" s="375"/>
      <c r="AJ227" s="375"/>
      <c r="AK227" s="16"/>
    </row>
    <row r="228" spans="1:37">
      <c r="A228" s="506"/>
      <c r="B228" s="506"/>
      <c r="C228" s="375"/>
      <c r="D228" s="375"/>
      <c r="E228" s="375"/>
      <c r="F228" s="375"/>
      <c r="G228" s="375"/>
      <c r="H228" s="375"/>
      <c r="I228" s="375"/>
      <c r="J228" s="375"/>
      <c r="K228" s="375"/>
      <c r="L228" s="375"/>
      <c r="M228" s="375"/>
      <c r="N228" s="375"/>
      <c r="O228" s="375"/>
      <c r="P228" s="375"/>
      <c r="Q228" s="375"/>
      <c r="R228" s="16"/>
      <c r="U228" s="506"/>
      <c r="V228" s="375"/>
      <c r="W228" s="375"/>
      <c r="X228" s="375"/>
      <c r="Y228" s="375"/>
      <c r="Z228" s="375"/>
      <c r="AA228" s="375"/>
      <c r="AB228" s="375"/>
      <c r="AC228" s="375"/>
      <c r="AD228" s="375"/>
      <c r="AE228" s="375"/>
      <c r="AF228" s="375"/>
      <c r="AG228" s="375"/>
      <c r="AH228" s="375"/>
      <c r="AI228" s="375"/>
      <c r="AJ228" s="375"/>
      <c r="AK228" s="16"/>
    </row>
    <row r="229" spans="1:37">
      <c r="A229" s="375"/>
      <c r="B229" s="375"/>
      <c r="C229" s="375"/>
      <c r="D229" s="375"/>
      <c r="E229" s="375"/>
      <c r="F229" s="375"/>
      <c r="G229" s="375"/>
      <c r="H229" s="375"/>
      <c r="I229" s="375"/>
      <c r="J229" s="375"/>
      <c r="K229" s="375"/>
      <c r="L229" s="375"/>
      <c r="M229" s="375"/>
      <c r="N229" s="375"/>
      <c r="O229" s="375"/>
      <c r="P229" s="375"/>
      <c r="Q229" s="375"/>
      <c r="R229" s="16"/>
      <c r="U229" s="375"/>
      <c r="V229" s="375"/>
      <c r="W229" s="375"/>
      <c r="X229" s="375"/>
      <c r="Y229" s="375"/>
      <c r="Z229" s="375"/>
      <c r="AA229" s="375"/>
      <c r="AB229" s="375"/>
      <c r="AC229" s="375"/>
      <c r="AD229" s="375"/>
      <c r="AE229" s="375"/>
      <c r="AF229" s="375"/>
      <c r="AG229" s="375"/>
      <c r="AH229" s="375"/>
      <c r="AI229" s="375"/>
      <c r="AJ229" s="375"/>
      <c r="AK229" s="16"/>
    </row>
    <row r="230" spans="1:37">
      <c r="A230" s="375"/>
      <c r="B230" s="375"/>
      <c r="C230" s="375"/>
      <c r="D230" s="375"/>
      <c r="E230" s="375"/>
      <c r="F230" s="375"/>
      <c r="G230" s="375"/>
      <c r="H230" s="375"/>
      <c r="I230" s="375"/>
      <c r="J230" s="375"/>
      <c r="K230" s="375"/>
      <c r="L230" s="375"/>
      <c r="M230" s="375"/>
      <c r="N230" s="375"/>
      <c r="O230" s="375"/>
      <c r="P230" s="375"/>
      <c r="Q230" s="16"/>
      <c r="R230" s="375"/>
      <c r="U230" s="375"/>
      <c r="V230" s="375"/>
      <c r="W230" s="375"/>
      <c r="X230" s="375"/>
      <c r="Y230" s="375"/>
      <c r="Z230" s="375"/>
      <c r="AA230" s="375"/>
      <c r="AB230" s="375"/>
      <c r="AC230" s="375"/>
      <c r="AD230" s="375"/>
      <c r="AE230" s="375"/>
      <c r="AF230" s="375"/>
      <c r="AG230" s="375"/>
      <c r="AH230" s="375"/>
      <c r="AI230" s="375"/>
      <c r="AJ230" s="16"/>
      <c r="AK230" s="375"/>
    </row>
    <row r="231" spans="1:37">
      <c r="A231" s="375"/>
      <c r="B231" s="375"/>
      <c r="C231" s="375"/>
      <c r="D231" s="375"/>
      <c r="E231" s="375"/>
      <c r="F231" s="375"/>
      <c r="G231" s="375"/>
      <c r="H231" s="375"/>
      <c r="I231" s="375"/>
      <c r="J231" s="375"/>
      <c r="K231" s="375"/>
      <c r="L231" s="375"/>
      <c r="M231" s="375"/>
      <c r="N231" s="375"/>
      <c r="O231" s="375"/>
      <c r="P231" s="375"/>
      <c r="Q231" s="375"/>
      <c r="R231" s="16"/>
      <c r="U231" s="375"/>
      <c r="V231" s="375"/>
      <c r="W231" s="375"/>
      <c r="X231" s="375"/>
      <c r="Y231" s="375"/>
      <c r="Z231" s="375"/>
      <c r="AA231" s="375"/>
      <c r="AB231" s="375"/>
      <c r="AC231" s="375"/>
      <c r="AD231" s="375"/>
      <c r="AE231" s="375"/>
      <c r="AF231" s="375"/>
      <c r="AG231" s="375"/>
      <c r="AH231" s="375"/>
      <c r="AI231" s="375"/>
      <c r="AJ231" s="375"/>
      <c r="AK231" s="16"/>
    </row>
    <row r="232" spans="1:37">
      <c r="A232" s="375"/>
      <c r="B232" s="375"/>
      <c r="C232" s="375"/>
      <c r="D232" s="375"/>
      <c r="E232" s="375"/>
      <c r="F232" s="375"/>
      <c r="G232" s="375"/>
      <c r="H232" s="375"/>
      <c r="I232" s="375"/>
      <c r="J232" s="375"/>
      <c r="K232" s="375"/>
      <c r="L232" s="375"/>
      <c r="M232" s="375"/>
      <c r="N232" s="375"/>
      <c r="O232" s="375"/>
      <c r="P232" s="375"/>
      <c r="Q232" s="375"/>
      <c r="R232" s="16"/>
      <c r="U232" s="375"/>
      <c r="V232" s="375"/>
      <c r="W232" s="375"/>
      <c r="X232" s="375"/>
      <c r="Y232" s="375"/>
      <c r="Z232" s="375"/>
      <c r="AA232" s="375"/>
      <c r="AB232" s="375"/>
      <c r="AC232" s="375"/>
      <c r="AD232" s="375"/>
      <c r="AE232" s="375"/>
      <c r="AF232" s="375"/>
      <c r="AG232" s="375"/>
      <c r="AH232" s="375"/>
      <c r="AI232" s="375"/>
      <c r="AJ232" s="375"/>
      <c r="AK232" s="16"/>
    </row>
    <row r="233" spans="1:37">
      <c r="A233" s="375"/>
      <c r="B233" s="375"/>
      <c r="C233" s="375"/>
      <c r="D233" s="375"/>
      <c r="E233" s="375"/>
      <c r="F233" s="375"/>
      <c r="G233" s="375"/>
      <c r="H233" s="375"/>
      <c r="I233" s="375"/>
      <c r="J233" s="375"/>
      <c r="K233" s="375"/>
      <c r="L233" s="375"/>
      <c r="M233" s="375"/>
      <c r="N233" s="375"/>
      <c r="O233" s="375"/>
      <c r="P233" s="375"/>
      <c r="Q233" s="375"/>
      <c r="R233" s="16"/>
      <c r="U233" s="375"/>
      <c r="V233" s="375"/>
      <c r="W233" s="375"/>
      <c r="X233" s="375"/>
      <c r="Y233" s="375"/>
      <c r="Z233" s="375"/>
      <c r="AA233" s="375"/>
      <c r="AB233" s="375"/>
      <c r="AC233" s="375"/>
      <c r="AD233" s="375"/>
      <c r="AE233" s="375"/>
      <c r="AF233" s="375"/>
      <c r="AG233" s="375"/>
      <c r="AH233" s="375"/>
      <c r="AI233" s="375"/>
      <c r="AJ233" s="375"/>
      <c r="AK233" s="16"/>
    </row>
    <row r="234" spans="1:37">
      <c r="A234" s="506"/>
      <c r="B234" s="506"/>
      <c r="C234" s="375"/>
      <c r="D234" s="375"/>
      <c r="E234" s="375"/>
      <c r="F234" s="375"/>
      <c r="G234" s="375"/>
      <c r="H234" s="375"/>
      <c r="I234" s="375"/>
      <c r="J234" s="375"/>
      <c r="K234" s="375"/>
      <c r="L234" s="375"/>
      <c r="M234" s="375"/>
      <c r="N234" s="375"/>
      <c r="O234" s="375"/>
      <c r="P234" s="375"/>
      <c r="Q234" s="375"/>
      <c r="R234" s="16"/>
      <c r="U234" s="506"/>
      <c r="V234" s="375"/>
      <c r="W234" s="375"/>
      <c r="X234" s="375"/>
      <c r="Y234" s="375"/>
      <c r="Z234" s="375"/>
      <c r="AA234" s="375"/>
      <c r="AB234" s="375"/>
      <c r="AC234" s="375"/>
      <c r="AD234" s="375"/>
      <c r="AE234" s="375"/>
      <c r="AF234" s="375"/>
      <c r="AG234" s="375"/>
      <c r="AH234" s="375"/>
      <c r="AI234" s="375"/>
      <c r="AJ234" s="375"/>
      <c r="AK234" s="16"/>
    </row>
    <row r="235" spans="1:37">
      <c r="A235" s="375"/>
      <c r="B235" s="375"/>
      <c r="C235" s="375"/>
      <c r="D235" s="375"/>
      <c r="E235" s="375"/>
      <c r="F235" s="375"/>
      <c r="G235" s="375"/>
      <c r="H235" s="375"/>
      <c r="I235" s="375"/>
      <c r="J235" s="375"/>
      <c r="K235" s="375"/>
      <c r="L235" s="375"/>
      <c r="M235" s="375"/>
      <c r="N235" s="375"/>
      <c r="O235" s="375"/>
      <c r="P235" s="375"/>
      <c r="Q235" s="375"/>
      <c r="R235" s="16"/>
      <c r="U235" s="375"/>
      <c r="V235" s="375"/>
      <c r="W235" s="375"/>
      <c r="X235" s="375"/>
      <c r="Y235" s="375"/>
      <c r="Z235" s="375"/>
      <c r="AA235" s="375"/>
      <c r="AB235" s="375"/>
      <c r="AC235" s="375"/>
      <c r="AD235" s="375"/>
      <c r="AE235" s="375"/>
      <c r="AF235" s="375"/>
      <c r="AG235" s="375"/>
      <c r="AH235" s="375"/>
      <c r="AI235" s="375"/>
      <c r="AJ235" s="375"/>
      <c r="AK235" s="16"/>
    </row>
    <row r="236" spans="1:37">
      <c r="A236" s="375"/>
      <c r="B236" s="375"/>
      <c r="C236" s="375"/>
      <c r="D236" s="375"/>
      <c r="E236" s="375"/>
      <c r="F236" s="375"/>
      <c r="G236" s="375"/>
      <c r="H236" s="375"/>
      <c r="I236" s="375"/>
      <c r="J236" s="375"/>
      <c r="K236" s="375"/>
      <c r="L236" s="375"/>
      <c r="M236" s="375"/>
      <c r="N236" s="375"/>
      <c r="O236" s="375"/>
      <c r="P236" s="375"/>
      <c r="Q236" s="16"/>
      <c r="R236" s="375"/>
      <c r="U236" s="375"/>
      <c r="V236" s="375"/>
      <c r="W236" s="375"/>
      <c r="X236" s="375"/>
      <c r="Y236" s="375"/>
      <c r="Z236" s="375"/>
      <c r="AA236" s="375"/>
      <c r="AB236" s="375"/>
      <c r="AC236" s="375"/>
      <c r="AD236" s="375"/>
      <c r="AE236" s="375"/>
      <c r="AF236" s="375"/>
      <c r="AG236" s="375"/>
      <c r="AH236" s="375"/>
      <c r="AI236" s="375"/>
      <c r="AJ236" s="16"/>
      <c r="AK236" s="375"/>
    </row>
    <row r="237" spans="1:37">
      <c r="A237" s="375"/>
      <c r="B237" s="375"/>
      <c r="C237" s="375"/>
      <c r="D237" s="375"/>
      <c r="E237" s="375"/>
      <c r="F237" s="375"/>
      <c r="G237" s="375"/>
      <c r="H237" s="375"/>
      <c r="I237" s="375"/>
      <c r="J237" s="375"/>
      <c r="K237" s="375"/>
      <c r="L237" s="375"/>
      <c r="M237" s="375"/>
      <c r="N237" s="375"/>
      <c r="O237" s="375"/>
      <c r="P237" s="375"/>
      <c r="Q237" s="375"/>
      <c r="R237" s="16"/>
      <c r="U237" s="375"/>
      <c r="V237" s="375"/>
      <c r="W237" s="375"/>
      <c r="X237" s="375"/>
      <c r="Y237" s="375"/>
      <c r="Z237" s="375"/>
      <c r="AA237" s="375"/>
      <c r="AB237" s="375"/>
      <c r="AC237" s="375"/>
      <c r="AD237" s="375"/>
      <c r="AE237" s="375"/>
      <c r="AF237" s="375"/>
      <c r="AG237" s="375"/>
      <c r="AH237" s="375"/>
      <c r="AI237" s="375"/>
      <c r="AJ237" s="375"/>
      <c r="AK237" s="16"/>
    </row>
    <row r="238" spans="1:37">
      <c r="A238" s="375"/>
      <c r="B238" s="375"/>
      <c r="C238" s="375"/>
      <c r="D238" s="375"/>
      <c r="E238" s="375"/>
      <c r="F238" s="375"/>
      <c r="G238" s="375"/>
      <c r="H238" s="375"/>
      <c r="I238" s="375"/>
      <c r="J238" s="375"/>
      <c r="K238" s="375"/>
      <c r="L238" s="375"/>
      <c r="M238" s="375"/>
      <c r="N238" s="375"/>
      <c r="O238" s="375"/>
      <c r="P238" s="375"/>
      <c r="Q238" s="375"/>
      <c r="R238" s="16"/>
      <c r="U238" s="375"/>
      <c r="V238" s="375"/>
      <c r="W238" s="375"/>
      <c r="X238" s="375"/>
      <c r="Y238" s="375"/>
      <c r="Z238" s="375"/>
      <c r="AA238" s="375"/>
      <c r="AB238" s="375"/>
      <c r="AC238" s="375"/>
      <c r="AD238" s="375"/>
      <c r="AE238" s="375"/>
      <c r="AF238" s="375"/>
      <c r="AG238" s="375"/>
      <c r="AH238" s="375"/>
      <c r="AI238" s="375"/>
      <c r="AJ238" s="375"/>
      <c r="AK238" s="16"/>
    </row>
    <row r="239" spans="1:37">
      <c r="A239" s="375"/>
      <c r="B239" s="375"/>
      <c r="C239" s="375"/>
      <c r="D239" s="375"/>
      <c r="E239" s="375"/>
      <c r="F239" s="375"/>
      <c r="G239" s="375"/>
      <c r="H239" s="375"/>
      <c r="I239" s="375"/>
      <c r="J239" s="375"/>
      <c r="K239" s="375"/>
      <c r="L239" s="375"/>
      <c r="M239" s="375"/>
      <c r="N239" s="375"/>
      <c r="O239" s="375"/>
      <c r="P239" s="375"/>
      <c r="Q239" s="375"/>
      <c r="R239" s="16"/>
      <c r="U239" s="375"/>
      <c r="V239" s="375"/>
      <c r="W239" s="375"/>
      <c r="X239" s="375"/>
      <c r="Y239" s="375"/>
      <c r="Z239" s="375"/>
      <c r="AA239" s="375"/>
      <c r="AB239" s="375"/>
      <c r="AC239" s="375"/>
      <c r="AD239" s="375"/>
      <c r="AE239" s="375"/>
      <c r="AF239" s="375"/>
      <c r="AG239" s="375"/>
      <c r="AH239" s="375"/>
      <c r="AI239" s="375"/>
      <c r="AJ239" s="375"/>
      <c r="AK239" s="16"/>
    </row>
    <row r="240" spans="1:37">
      <c r="A240" s="506"/>
      <c r="B240" s="506"/>
      <c r="C240" s="375"/>
      <c r="D240" s="375"/>
      <c r="E240" s="375"/>
      <c r="F240" s="375"/>
      <c r="G240" s="375"/>
      <c r="H240" s="375"/>
      <c r="I240" s="375"/>
      <c r="J240" s="375"/>
      <c r="K240" s="375"/>
      <c r="L240" s="375"/>
      <c r="M240" s="375"/>
      <c r="N240" s="375"/>
      <c r="O240" s="375"/>
      <c r="P240" s="375"/>
      <c r="Q240" s="375"/>
      <c r="R240" s="16"/>
      <c r="U240" s="506"/>
      <c r="V240" s="375"/>
      <c r="W240" s="375"/>
      <c r="X240" s="375"/>
      <c r="Y240" s="375"/>
      <c r="Z240" s="375"/>
      <c r="AA240" s="375"/>
      <c r="AB240" s="375"/>
      <c r="AC240" s="375"/>
      <c r="AD240" s="375"/>
      <c r="AE240" s="375"/>
      <c r="AF240" s="375"/>
      <c r="AG240" s="375"/>
      <c r="AH240" s="375"/>
      <c r="AI240" s="375"/>
      <c r="AJ240" s="375"/>
      <c r="AK240" s="16"/>
    </row>
    <row r="241" spans="1:37">
      <c r="A241" s="375"/>
      <c r="B241" s="375"/>
      <c r="C241" s="375"/>
      <c r="D241" s="375"/>
      <c r="E241" s="375"/>
      <c r="F241" s="375"/>
      <c r="G241" s="375"/>
      <c r="H241" s="375"/>
      <c r="I241" s="375"/>
      <c r="J241" s="375"/>
      <c r="K241" s="375"/>
      <c r="L241" s="375"/>
      <c r="M241" s="375"/>
      <c r="N241" s="375"/>
      <c r="O241" s="375"/>
      <c r="P241" s="375"/>
      <c r="Q241" s="375"/>
      <c r="R241" s="16"/>
      <c r="U241" s="375"/>
      <c r="V241" s="375"/>
      <c r="W241" s="375"/>
      <c r="X241" s="375"/>
      <c r="Y241" s="375"/>
      <c r="Z241" s="375"/>
      <c r="AA241" s="375"/>
      <c r="AB241" s="375"/>
      <c r="AC241" s="375"/>
      <c r="AD241" s="375"/>
      <c r="AE241" s="375"/>
      <c r="AF241" s="375"/>
      <c r="AG241" s="375"/>
      <c r="AH241" s="375"/>
      <c r="AI241" s="375"/>
      <c r="AJ241" s="375"/>
      <c r="AK241" s="16"/>
    </row>
    <row r="242" spans="1:37">
      <c r="A242" s="375"/>
      <c r="B242" s="375"/>
      <c r="C242" s="375"/>
      <c r="D242" s="375"/>
      <c r="E242" s="375"/>
      <c r="F242" s="375"/>
      <c r="G242" s="375"/>
      <c r="H242" s="375"/>
      <c r="I242" s="375"/>
      <c r="J242" s="375"/>
      <c r="K242" s="375"/>
      <c r="L242" s="375"/>
      <c r="M242" s="375"/>
      <c r="N242" s="375"/>
      <c r="O242" s="375"/>
      <c r="P242" s="375"/>
      <c r="Q242" s="16"/>
      <c r="R242" s="375"/>
      <c r="U242" s="375"/>
      <c r="V242" s="375"/>
      <c r="W242" s="375"/>
      <c r="X242" s="375"/>
      <c r="Y242" s="375"/>
      <c r="Z242" s="375"/>
      <c r="AA242" s="375"/>
      <c r="AB242" s="375"/>
      <c r="AC242" s="375"/>
      <c r="AD242" s="375"/>
      <c r="AE242" s="375"/>
      <c r="AF242" s="375"/>
      <c r="AG242" s="375"/>
      <c r="AH242" s="375"/>
      <c r="AI242" s="375"/>
      <c r="AJ242" s="16"/>
      <c r="AK242" s="375"/>
    </row>
    <row r="243" spans="1:37">
      <c r="A243" s="375"/>
      <c r="B243" s="375"/>
      <c r="C243" s="375"/>
      <c r="D243" s="375"/>
      <c r="E243" s="375"/>
      <c r="F243" s="375"/>
      <c r="G243" s="375"/>
      <c r="H243" s="375"/>
      <c r="I243" s="375"/>
      <c r="J243" s="375"/>
      <c r="K243" s="375"/>
      <c r="L243" s="375"/>
      <c r="M243" s="375"/>
      <c r="N243" s="375"/>
      <c r="O243" s="375"/>
      <c r="P243" s="375"/>
      <c r="Q243" s="375"/>
      <c r="R243" s="16"/>
      <c r="U243" s="375"/>
      <c r="V243" s="375"/>
      <c r="W243" s="375"/>
      <c r="X243" s="375"/>
      <c r="Y243" s="375"/>
      <c r="Z243" s="375"/>
      <c r="AA243" s="375"/>
      <c r="AB243" s="375"/>
      <c r="AC243" s="375"/>
      <c r="AD243" s="375"/>
      <c r="AE243" s="375"/>
      <c r="AF243" s="375"/>
      <c r="AG243" s="375"/>
      <c r="AH243" s="375"/>
      <c r="AI243" s="375"/>
      <c r="AJ243" s="375"/>
      <c r="AK243" s="16"/>
    </row>
    <row r="244" spans="1:37">
      <c r="A244" s="375"/>
      <c r="B244" s="375"/>
      <c r="C244" s="375"/>
      <c r="D244" s="375"/>
      <c r="E244" s="375"/>
      <c r="F244" s="375"/>
      <c r="G244" s="375"/>
      <c r="H244" s="375"/>
      <c r="I244" s="375"/>
      <c r="J244" s="375"/>
      <c r="K244" s="375"/>
      <c r="L244" s="375"/>
      <c r="M244" s="375"/>
      <c r="N244" s="375"/>
      <c r="O244" s="375"/>
      <c r="P244" s="375"/>
      <c r="Q244" s="375"/>
      <c r="R244" s="16"/>
      <c r="U244" s="375"/>
      <c r="V244" s="375"/>
      <c r="W244" s="375"/>
      <c r="X244" s="375"/>
      <c r="Y244" s="375"/>
      <c r="Z244" s="375"/>
      <c r="AA244" s="375"/>
      <c r="AB244" s="375"/>
      <c r="AC244" s="375"/>
      <c r="AD244" s="375"/>
      <c r="AE244" s="375"/>
      <c r="AF244" s="375"/>
      <c r="AG244" s="375"/>
      <c r="AH244" s="375"/>
      <c r="AI244" s="375"/>
      <c r="AJ244" s="375"/>
      <c r="AK244" s="16"/>
    </row>
    <row r="245" spans="1:37">
      <c r="A245" s="375"/>
      <c r="B245" s="375"/>
      <c r="C245" s="375"/>
      <c r="D245" s="375"/>
      <c r="E245" s="375"/>
      <c r="F245" s="375"/>
      <c r="G245" s="375"/>
      <c r="H245" s="375"/>
      <c r="I245" s="375"/>
      <c r="J245" s="375"/>
      <c r="K245" s="375"/>
      <c r="L245" s="375"/>
      <c r="M245" s="375"/>
      <c r="N245" s="375"/>
      <c r="O245" s="375"/>
      <c r="P245" s="375"/>
      <c r="Q245" s="375"/>
      <c r="R245" s="16"/>
      <c r="U245" s="375"/>
      <c r="V245" s="375"/>
      <c r="W245" s="375"/>
      <c r="X245" s="375"/>
      <c r="Y245" s="375"/>
      <c r="Z245" s="375"/>
      <c r="AA245" s="375"/>
      <c r="AB245" s="375"/>
      <c r="AC245" s="375"/>
      <c r="AD245" s="375"/>
      <c r="AE245" s="375"/>
      <c r="AF245" s="375"/>
      <c r="AG245" s="375"/>
      <c r="AH245" s="375"/>
      <c r="AI245" s="375"/>
      <c r="AJ245" s="375"/>
      <c r="AK245" s="16"/>
    </row>
    <row r="246" spans="1:37">
      <c r="A246" s="506"/>
      <c r="B246" s="506"/>
      <c r="C246" s="375"/>
      <c r="D246" s="375"/>
      <c r="E246" s="375"/>
      <c r="F246" s="375"/>
      <c r="G246" s="375"/>
      <c r="H246" s="375"/>
      <c r="I246" s="375"/>
      <c r="J246" s="375"/>
      <c r="K246" s="375"/>
      <c r="L246" s="375"/>
      <c r="M246" s="375"/>
      <c r="N246" s="375"/>
      <c r="O246" s="375"/>
      <c r="P246" s="375"/>
      <c r="Q246" s="375"/>
      <c r="R246" s="16"/>
      <c r="U246" s="506"/>
      <c r="V246" s="375"/>
      <c r="W246" s="375"/>
      <c r="X246" s="375"/>
      <c r="Y246" s="375"/>
      <c r="Z246" s="375"/>
      <c r="AA246" s="375"/>
      <c r="AB246" s="375"/>
      <c r="AC246" s="375"/>
      <c r="AD246" s="375"/>
      <c r="AE246" s="375"/>
      <c r="AF246" s="375"/>
      <c r="AG246" s="375"/>
      <c r="AH246" s="375"/>
      <c r="AI246" s="375"/>
      <c r="AJ246" s="375"/>
      <c r="AK246" s="16"/>
    </row>
    <row r="247" spans="1:37">
      <c r="A247" s="375"/>
      <c r="B247" s="375"/>
      <c r="C247" s="375"/>
      <c r="D247" s="375"/>
      <c r="E247" s="375"/>
      <c r="F247" s="375"/>
      <c r="G247" s="375"/>
      <c r="H247" s="375"/>
      <c r="I247" s="375"/>
      <c r="J247" s="375"/>
      <c r="K247" s="375"/>
      <c r="L247" s="375"/>
      <c r="M247" s="375"/>
      <c r="N247" s="375"/>
      <c r="O247" s="375"/>
      <c r="P247" s="375"/>
      <c r="Q247" s="375"/>
      <c r="R247" s="16"/>
      <c r="U247" s="375"/>
      <c r="V247" s="375"/>
      <c r="W247" s="375"/>
      <c r="X247" s="375"/>
      <c r="Y247" s="375"/>
      <c r="Z247" s="375"/>
      <c r="AA247" s="375"/>
      <c r="AB247" s="375"/>
      <c r="AC247" s="375"/>
      <c r="AD247" s="375"/>
      <c r="AE247" s="375"/>
      <c r="AF247" s="375"/>
      <c r="AG247" s="375"/>
      <c r="AH247" s="375"/>
      <c r="AI247" s="375"/>
      <c r="AJ247" s="375"/>
      <c r="AK247" s="16"/>
    </row>
    <row r="248" spans="1:37">
      <c r="A248" s="375"/>
      <c r="B248" s="375"/>
      <c r="C248" s="375"/>
      <c r="D248" s="375"/>
      <c r="E248" s="375"/>
      <c r="F248" s="375"/>
      <c r="G248" s="375"/>
      <c r="H248" s="375"/>
      <c r="I248" s="375"/>
      <c r="J248" s="375"/>
      <c r="K248" s="375"/>
      <c r="L248" s="375"/>
      <c r="M248" s="375"/>
      <c r="N248" s="375"/>
      <c r="O248" s="375"/>
      <c r="P248" s="375"/>
      <c r="Q248" s="16"/>
      <c r="R248" s="375"/>
      <c r="U248" s="375"/>
      <c r="V248" s="375"/>
      <c r="W248" s="375"/>
      <c r="X248" s="375"/>
      <c r="Y248" s="375"/>
      <c r="Z248" s="375"/>
      <c r="AA248" s="375"/>
      <c r="AB248" s="375"/>
      <c r="AC248" s="375"/>
      <c r="AD248" s="375"/>
      <c r="AE248" s="375"/>
      <c r="AF248" s="375"/>
      <c r="AG248" s="375"/>
      <c r="AH248" s="375"/>
      <c r="AI248" s="375"/>
      <c r="AJ248" s="16"/>
      <c r="AK248" s="375"/>
    </row>
    <row r="249" spans="1:37">
      <c r="A249" s="375"/>
      <c r="B249" s="375"/>
      <c r="C249" s="375"/>
      <c r="D249" s="375"/>
      <c r="E249" s="375"/>
      <c r="F249" s="375"/>
      <c r="G249" s="375"/>
      <c r="H249" s="375"/>
      <c r="I249" s="375"/>
      <c r="J249" s="375"/>
      <c r="K249" s="375"/>
      <c r="L249" s="375"/>
      <c r="M249" s="375"/>
      <c r="N249" s="375"/>
      <c r="O249" s="375"/>
      <c r="P249" s="375"/>
      <c r="Q249" s="375"/>
      <c r="R249" s="16"/>
      <c r="U249" s="375"/>
      <c r="V249" s="375"/>
      <c r="W249" s="375"/>
      <c r="X249" s="375"/>
      <c r="Y249" s="375"/>
      <c r="Z249" s="375"/>
      <c r="AA249" s="375"/>
      <c r="AB249" s="375"/>
      <c r="AC249" s="375"/>
      <c r="AD249" s="375"/>
      <c r="AE249" s="375"/>
      <c r="AF249" s="375"/>
      <c r="AG249" s="375"/>
      <c r="AH249" s="375"/>
      <c r="AI249" s="375"/>
      <c r="AJ249" s="375"/>
      <c r="AK249" s="16"/>
    </row>
    <row r="250" spans="1:37">
      <c r="A250" s="375"/>
      <c r="B250" s="375"/>
      <c r="C250" s="375"/>
      <c r="D250" s="375"/>
      <c r="E250" s="375"/>
      <c r="F250" s="375"/>
      <c r="G250" s="375"/>
      <c r="H250" s="375"/>
      <c r="I250" s="375"/>
      <c r="J250" s="375"/>
      <c r="K250" s="375"/>
      <c r="L250" s="375"/>
      <c r="M250" s="375"/>
      <c r="N250" s="375"/>
      <c r="O250" s="375"/>
      <c r="P250" s="375"/>
      <c r="Q250" s="375"/>
      <c r="R250" s="16"/>
      <c r="U250" s="375"/>
      <c r="V250" s="375"/>
      <c r="W250" s="375"/>
      <c r="X250" s="375"/>
      <c r="Y250" s="375"/>
      <c r="Z250" s="375"/>
      <c r="AA250" s="375"/>
      <c r="AB250" s="375"/>
      <c r="AC250" s="375"/>
      <c r="AD250" s="375"/>
      <c r="AE250" s="375"/>
      <c r="AF250" s="375"/>
      <c r="AG250" s="375"/>
      <c r="AH250" s="375"/>
      <c r="AI250" s="375"/>
      <c r="AJ250" s="375"/>
      <c r="AK250" s="16"/>
    </row>
    <row r="251" spans="1:37">
      <c r="A251" s="375"/>
      <c r="B251" s="375"/>
      <c r="C251" s="375"/>
      <c r="D251" s="375"/>
      <c r="E251" s="375"/>
      <c r="F251" s="375"/>
      <c r="G251" s="375"/>
      <c r="H251" s="375"/>
      <c r="I251" s="375"/>
      <c r="J251" s="375"/>
      <c r="K251" s="375"/>
      <c r="L251" s="375"/>
      <c r="M251" s="375"/>
      <c r="N251" s="375"/>
      <c r="O251" s="375"/>
      <c r="P251" s="375"/>
      <c r="Q251" s="375"/>
      <c r="R251" s="16"/>
      <c r="U251" s="375"/>
      <c r="V251" s="375"/>
      <c r="W251" s="375"/>
      <c r="X251" s="375"/>
      <c r="Y251" s="375"/>
      <c r="Z251" s="375"/>
      <c r="AA251" s="375"/>
      <c r="AB251" s="375"/>
      <c r="AC251" s="375"/>
      <c r="AD251" s="375"/>
      <c r="AE251" s="375"/>
      <c r="AF251" s="375"/>
      <c r="AG251" s="375"/>
      <c r="AH251" s="375"/>
      <c r="AI251" s="375"/>
      <c r="AJ251" s="375"/>
      <c r="AK251" s="16"/>
    </row>
    <row r="252" spans="1:37">
      <c r="A252" s="506"/>
      <c r="B252" s="506"/>
      <c r="C252" s="375"/>
      <c r="D252" s="375"/>
      <c r="E252" s="375"/>
      <c r="F252" s="375"/>
      <c r="G252" s="375"/>
      <c r="H252" s="375"/>
      <c r="I252" s="375"/>
      <c r="J252" s="375"/>
      <c r="K252" s="375"/>
      <c r="L252" s="375"/>
      <c r="M252" s="375"/>
      <c r="N252" s="375"/>
      <c r="O252" s="375"/>
      <c r="P252" s="375"/>
      <c r="Q252" s="375"/>
      <c r="R252" s="16"/>
      <c r="U252" s="506"/>
      <c r="V252" s="375"/>
      <c r="W252" s="375"/>
      <c r="X252" s="375"/>
      <c r="Y252" s="375"/>
      <c r="Z252" s="375"/>
      <c r="AA252" s="375"/>
      <c r="AB252" s="375"/>
      <c r="AC252" s="375"/>
      <c r="AD252" s="375"/>
      <c r="AE252" s="375"/>
      <c r="AF252" s="375"/>
      <c r="AG252" s="375"/>
      <c r="AH252" s="375"/>
      <c r="AI252" s="375"/>
      <c r="AJ252" s="375"/>
      <c r="AK252" s="16"/>
    </row>
    <row r="253" spans="1:37">
      <c r="A253" s="375"/>
      <c r="B253" s="375"/>
      <c r="C253" s="375"/>
      <c r="D253" s="375"/>
      <c r="E253" s="375"/>
      <c r="F253" s="375"/>
      <c r="G253" s="375"/>
      <c r="H253" s="375"/>
      <c r="I253" s="375"/>
      <c r="J253" s="375"/>
      <c r="K253" s="375"/>
      <c r="L253" s="375"/>
      <c r="M253" s="375"/>
      <c r="N253" s="375"/>
      <c r="O253" s="375"/>
      <c r="P253" s="375"/>
      <c r="Q253" s="375"/>
      <c r="R253" s="16"/>
      <c r="U253" s="375"/>
      <c r="V253" s="375"/>
      <c r="W253" s="375"/>
      <c r="X253" s="375"/>
      <c r="Y253" s="375"/>
      <c r="Z253" s="375"/>
      <c r="AA253" s="375"/>
      <c r="AB253" s="375"/>
      <c r="AC253" s="375"/>
      <c r="AD253" s="375"/>
      <c r="AE253" s="375"/>
      <c r="AF253" s="375"/>
      <c r="AG253" s="375"/>
      <c r="AH253" s="375"/>
      <c r="AI253" s="375"/>
      <c r="AJ253" s="375"/>
      <c r="AK253" s="16"/>
    </row>
    <row r="254" spans="1:37">
      <c r="A254" s="375"/>
      <c r="B254" s="375"/>
      <c r="C254" s="375"/>
      <c r="D254" s="375"/>
      <c r="E254" s="375"/>
      <c r="F254" s="375"/>
      <c r="G254" s="375"/>
      <c r="H254" s="375"/>
      <c r="I254" s="375"/>
      <c r="J254" s="375"/>
      <c r="K254" s="375"/>
      <c r="L254" s="375"/>
      <c r="M254" s="375"/>
      <c r="N254" s="375"/>
      <c r="O254" s="375"/>
      <c r="P254" s="375"/>
      <c r="Q254" s="16"/>
      <c r="R254" s="375"/>
      <c r="U254" s="375"/>
      <c r="V254" s="375"/>
      <c r="W254" s="375"/>
      <c r="X254" s="375"/>
      <c r="Y254" s="375"/>
      <c r="Z254" s="375"/>
      <c r="AA254" s="375"/>
      <c r="AB254" s="375"/>
      <c r="AC254" s="375"/>
      <c r="AD254" s="375"/>
      <c r="AE254" s="375"/>
      <c r="AF254" s="375"/>
      <c r="AG254" s="375"/>
      <c r="AH254" s="375"/>
      <c r="AI254" s="375"/>
      <c r="AJ254" s="16"/>
      <c r="AK254" s="375"/>
    </row>
    <row r="255" spans="1:37">
      <c r="A255" s="375"/>
      <c r="B255" s="375"/>
      <c r="C255" s="375"/>
      <c r="D255" s="375"/>
      <c r="E255" s="375"/>
      <c r="F255" s="375"/>
      <c r="G255" s="375"/>
      <c r="H255" s="375"/>
      <c r="I255" s="375"/>
      <c r="J255" s="375"/>
      <c r="K255" s="375"/>
      <c r="L255" s="375"/>
      <c r="M255" s="375"/>
      <c r="N255" s="375"/>
      <c r="O255" s="375"/>
      <c r="P255" s="375"/>
      <c r="Q255" s="375"/>
      <c r="R255" s="16"/>
      <c r="U255" s="375"/>
      <c r="V255" s="375"/>
      <c r="W255" s="375"/>
      <c r="X255" s="375"/>
      <c r="Y255" s="375"/>
      <c r="Z255" s="375"/>
      <c r="AA255" s="375"/>
      <c r="AB255" s="375"/>
      <c r="AC255" s="375"/>
      <c r="AD255" s="375"/>
      <c r="AE255" s="375"/>
      <c r="AF255" s="375"/>
      <c r="AG255" s="375"/>
      <c r="AH255" s="375"/>
      <c r="AI255" s="375"/>
      <c r="AJ255" s="375"/>
      <c r="AK255" s="16"/>
    </row>
    <row r="256" spans="1:37">
      <c r="A256" s="375"/>
      <c r="B256" s="375"/>
      <c r="C256" s="375"/>
      <c r="D256" s="375"/>
      <c r="E256" s="375"/>
      <c r="F256" s="375"/>
      <c r="G256" s="375"/>
      <c r="H256" s="375"/>
      <c r="I256" s="375"/>
      <c r="J256" s="375"/>
      <c r="K256" s="375"/>
      <c r="L256" s="375"/>
      <c r="M256" s="375"/>
      <c r="N256" s="375"/>
      <c r="O256" s="375"/>
      <c r="P256" s="375"/>
      <c r="Q256" s="375"/>
      <c r="R256" s="16"/>
      <c r="U256" s="375"/>
      <c r="V256" s="375"/>
      <c r="W256" s="375"/>
      <c r="X256" s="375"/>
      <c r="Y256" s="375"/>
      <c r="Z256" s="375"/>
      <c r="AA256" s="375"/>
      <c r="AB256" s="375"/>
      <c r="AC256" s="375"/>
      <c r="AD256" s="375"/>
      <c r="AE256" s="375"/>
      <c r="AF256" s="375"/>
      <c r="AG256" s="375"/>
      <c r="AH256" s="375"/>
      <c r="AI256" s="375"/>
      <c r="AJ256" s="375"/>
      <c r="AK256" s="16"/>
    </row>
    <row r="257" spans="1:37">
      <c r="A257" s="375"/>
      <c r="B257" s="375"/>
      <c r="C257" s="375"/>
      <c r="D257" s="375"/>
      <c r="E257" s="375"/>
      <c r="F257" s="375"/>
      <c r="G257" s="375"/>
      <c r="H257" s="375"/>
      <c r="I257" s="375"/>
      <c r="J257" s="375"/>
      <c r="K257" s="375"/>
      <c r="L257" s="375"/>
      <c r="M257" s="375"/>
      <c r="N257" s="375"/>
      <c r="O257" s="375"/>
      <c r="P257" s="375"/>
      <c r="Q257" s="375"/>
      <c r="R257" s="16"/>
      <c r="U257" s="375"/>
      <c r="V257" s="375"/>
      <c r="W257" s="375"/>
      <c r="X257" s="375"/>
      <c r="Y257" s="375"/>
      <c r="Z257" s="375"/>
      <c r="AA257" s="375"/>
      <c r="AB257" s="375"/>
      <c r="AC257" s="375"/>
      <c r="AD257" s="375"/>
      <c r="AE257" s="375"/>
      <c r="AF257" s="375"/>
      <c r="AG257" s="375"/>
      <c r="AH257" s="375"/>
      <c r="AI257" s="375"/>
      <c r="AJ257" s="375"/>
      <c r="AK257" s="16"/>
    </row>
    <row r="258" spans="1:37">
      <c r="A258" s="506"/>
      <c r="B258" s="506"/>
      <c r="C258" s="375"/>
      <c r="D258" s="375"/>
      <c r="E258" s="375"/>
      <c r="F258" s="375"/>
      <c r="G258" s="375"/>
      <c r="H258" s="375"/>
      <c r="I258" s="375"/>
      <c r="J258" s="375"/>
      <c r="K258" s="375"/>
      <c r="L258" s="375"/>
      <c r="M258" s="375"/>
      <c r="N258" s="375"/>
      <c r="O258" s="375"/>
      <c r="P258" s="375"/>
      <c r="Q258" s="375"/>
      <c r="R258" s="16"/>
      <c r="U258" s="506"/>
      <c r="V258" s="375"/>
      <c r="W258" s="375"/>
      <c r="X258" s="375"/>
      <c r="Y258" s="375"/>
      <c r="Z258" s="375"/>
      <c r="AA258" s="375"/>
      <c r="AB258" s="375"/>
      <c r="AC258" s="375"/>
      <c r="AD258" s="375"/>
      <c r="AE258" s="375"/>
      <c r="AF258" s="375"/>
      <c r="AG258" s="375"/>
      <c r="AH258" s="375"/>
      <c r="AI258" s="375"/>
      <c r="AJ258" s="375"/>
      <c r="AK258" s="16"/>
    </row>
    <row r="259" spans="1:37">
      <c r="A259" s="375"/>
      <c r="B259" s="375"/>
      <c r="C259" s="375"/>
      <c r="D259" s="375"/>
      <c r="E259" s="375"/>
      <c r="F259" s="375"/>
      <c r="G259" s="375"/>
      <c r="H259" s="375"/>
      <c r="I259" s="375"/>
      <c r="J259" s="375"/>
      <c r="K259" s="375"/>
      <c r="L259" s="375"/>
      <c r="M259" s="375"/>
      <c r="N259" s="375"/>
      <c r="O259" s="375"/>
      <c r="P259" s="375"/>
      <c r="Q259" s="375"/>
      <c r="R259" s="16"/>
      <c r="U259" s="375"/>
      <c r="V259" s="375"/>
      <c r="W259" s="375"/>
      <c r="X259" s="375"/>
      <c r="Y259" s="375"/>
      <c r="Z259" s="375"/>
      <c r="AA259" s="375"/>
      <c r="AB259" s="375"/>
      <c r="AC259" s="375"/>
      <c r="AD259" s="375"/>
      <c r="AE259" s="375"/>
      <c r="AF259" s="375"/>
      <c r="AG259" s="375"/>
      <c r="AH259" s="375"/>
      <c r="AI259" s="375"/>
      <c r="AJ259" s="375"/>
      <c r="AK259" s="16"/>
    </row>
    <row r="260" spans="1:37">
      <c r="A260" s="375"/>
      <c r="B260" s="375"/>
      <c r="C260" s="375"/>
      <c r="D260" s="375"/>
      <c r="E260" s="375"/>
      <c r="F260" s="375"/>
      <c r="G260" s="375"/>
      <c r="H260" s="375"/>
      <c r="I260" s="375"/>
      <c r="J260" s="375"/>
      <c r="K260" s="375"/>
      <c r="L260" s="375"/>
      <c r="M260" s="375"/>
      <c r="N260" s="375"/>
      <c r="O260" s="375"/>
      <c r="P260" s="375"/>
      <c r="Q260" s="375"/>
      <c r="R260" s="16"/>
      <c r="U260" s="375"/>
      <c r="V260" s="375"/>
      <c r="W260" s="375"/>
      <c r="X260" s="375"/>
      <c r="Y260" s="375"/>
      <c r="Z260" s="375"/>
      <c r="AA260" s="375"/>
      <c r="AB260" s="375"/>
      <c r="AC260" s="375"/>
      <c r="AD260" s="375"/>
      <c r="AE260" s="375"/>
      <c r="AF260" s="375"/>
      <c r="AG260" s="375"/>
      <c r="AH260" s="375"/>
      <c r="AI260" s="375"/>
      <c r="AJ260" s="375"/>
      <c r="AK260" s="16"/>
    </row>
    <row r="261" spans="1:37">
      <c r="A261" s="375"/>
      <c r="B261" s="375"/>
      <c r="C261" s="375"/>
      <c r="D261" s="375"/>
      <c r="E261" s="375"/>
      <c r="F261" s="375"/>
      <c r="G261" s="375"/>
      <c r="H261" s="375"/>
      <c r="I261" s="375"/>
      <c r="J261" s="375"/>
      <c r="K261" s="375"/>
      <c r="L261" s="375"/>
      <c r="M261" s="375"/>
      <c r="N261" s="375"/>
      <c r="O261" s="375"/>
      <c r="P261" s="375"/>
      <c r="Q261" s="375"/>
      <c r="R261" s="16"/>
      <c r="U261" s="375"/>
      <c r="V261" s="375"/>
      <c r="W261" s="375"/>
      <c r="X261" s="375"/>
      <c r="Y261" s="375"/>
      <c r="Z261" s="375"/>
      <c r="AA261" s="375"/>
      <c r="AB261" s="375"/>
      <c r="AC261" s="375"/>
      <c r="AD261" s="375"/>
      <c r="AE261" s="375"/>
      <c r="AF261" s="375"/>
      <c r="AG261" s="375"/>
      <c r="AH261" s="375"/>
      <c r="AI261" s="375"/>
      <c r="AJ261" s="375"/>
      <c r="AK261" s="16"/>
    </row>
    <row r="262" spans="1:37">
      <c r="A262" s="375"/>
      <c r="B262" s="375"/>
      <c r="C262" s="375"/>
      <c r="D262" s="375"/>
      <c r="E262" s="375"/>
      <c r="F262" s="375"/>
      <c r="G262" s="375"/>
      <c r="H262" s="375"/>
      <c r="I262" s="375"/>
      <c r="J262" s="375"/>
      <c r="K262" s="375"/>
      <c r="L262" s="375"/>
      <c r="M262" s="375"/>
      <c r="N262" s="375"/>
      <c r="O262" s="375"/>
      <c r="P262" s="375"/>
      <c r="Q262" s="375"/>
      <c r="R262" s="16"/>
      <c r="U262" s="375"/>
      <c r="V262" s="375"/>
      <c r="W262" s="375"/>
      <c r="X262" s="375"/>
      <c r="Y262" s="375"/>
      <c r="Z262" s="375"/>
      <c r="AA262" s="375"/>
      <c r="AB262" s="375"/>
      <c r="AC262" s="375"/>
      <c r="AD262" s="375"/>
      <c r="AE262" s="375"/>
      <c r="AF262" s="375"/>
      <c r="AG262" s="375"/>
      <c r="AH262" s="375"/>
      <c r="AI262" s="375"/>
      <c r="AJ262" s="375"/>
      <c r="AK262" s="16"/>
    </row>
    <row r="263" spans="1:37">
      <c r="A263" s="375"/>
      <c r="B263" s="375"/>
      <c r="C263" s="375"/>
      <c r="D263" s="375"/>
      <c r="E263" s="375"/>
      <c r="F263" s="375"/>
      <c r="G263" s="375"/>
      <c r="H263" s="375"/>
      <c r="I263" s="375"/>
      <c r="J263" s="375"/>
      <c r="K263" s="375"/>
      <c r="L263" s="375"/>
      <c r="M263" s="375"/>
      <c r="N263" s="375"/>
      <c r="O263" s="375"/>
      <c r="P263" s="375"/>
      <c r="Q263" s="375"/>
      <c r="R263" s="16"/>
      <c r="U263" s="375"/>
      <c r="V263" s="375"/>
      <c r="W263" s="375"/>
      <c r="X263" s="375"/>
      <c r="Y263" s="375"/>
      <c r="Z263" s="375"/>
      <c r="AA263" s="375"/>
      <c r="AB263" s="375"/>
      <c r="AC263" s="375"/>
      <c r="AD263" s="375"/>
      <c r="AE263" s="375"/>
      <c r="AF263" s="375"/>
      <c r="AG263" s="375"/>
      <c r="AH263" s="375"/>
      <c r="AI263" s="375"/>
      <c r="AJ263" s="375"/>
      <c r="AK263" s="16"/>
    </row>
    <row r="264" spans="1:37">
      <c r="A264" s="506"/>
      <c r="B264" s="506"/>
      <c r="C264" s="375"/>
      <c r="D264" s="375"/>
      <c r="E264" s="375"/>
      <c r="F264" s="375"/>
      <c r="G264" s="375"/>
      <c r="H264" s="375"/>
      <c r="I264" s="375"/>
      <c r="J264" s="375"/>
      <c r="K264" s="375"/>
      <c r="L264" s="375"/>
      <c r="M264" s="375"/>
      <c r="N264" s="375"/>
      <c r="O264" s="375"/>
      <c r="P264" s="375"/>
      <c r="Q264" s="375"/>
      <c r="R264" s="16"/>
      <c r="U264" s="506"/>
      <c r="V264" s="375"/>
      <c r="W264" s="375"/>
      <c r="X264" s="375"/>
      <c r="Y264" s="375"/>
      <c r="Z264" s="375"/>
      <c r="AA264" s="375"/>
      <c r="AB264" s="375"/>
      <c r="AC264" s="375"/>
      <c r="AD264" s="375"/>
      <c r="AE264" s="375"/>
      <c r="AF264" s="375"/>
      <c r="AG264" s="375"/>
      <c r="AH264" s="375"/>
      <c r="AI264" s="375"/>
      <c r="AJ264" s="375"/>
      <c r="AK264" s="16"/>
    </row>
    <row r="265" spans="1:37">
      <c r="A265" s="375"/>
      <c r="B265" s="375"/>
      <c r="C265" s="375"/>
      <c r="D265" s="375"/>
      <c r="E265" s="375"/>
      <c r="F265" s="375"/>
      <c r="G265" s="375"/>
      <c r="H265" s="375"/>
      <c r="I265" s="375"/>
      <c r="J265" s="375"/>
      <c r="K265" s="375"/>
      <c r="L265" s="375"/>
      <c r="M265" s="375"/>
      <c r="N265" s="375"/>
      <c r="O265" s="375"/>
      <c r="P265" s="375"/>
      <c r="Q265" s="375"/>
      <c r="R265" s="16"/>
      <c r="U265" s="375"/>
      <c r="V265" s="375"/>
      <c r="W265" s="375"/>
      <c r="X265" s="375"/>
      <c r="Y265" s="375"/>
      <c r="Z265" s="375"/>
      <c r="AA265" s="375"/>
      <c r="AB265" s="375"/>
      <c r="AC265" s="375"/>
      <c r="AD265" s="375"/>
      <c r="AE265" s="375"/>
      <c r="AF265" s="375"/>
      <c r="AG265" s="375"/>
      <c r="AH265" s="375"/>
      <c r="AI265" s="375"/>
      <c r="AJ265" s="375"/>
      <c r="AK265" s="16"/>
    </row>
    <row r="266" spans="1:37">
      <c r="A266" s="375"/>
      <c r="B266" s="375"/>
      <c r="C266" s="375"/>
      <c r="D266" s="375"/>
      <c r="E266" s="375"/>
      <c r="F266" s="375"/>
      <c r="G266" s="375"/>
      <c r="H266" s="375"/>
      <c r="I266" s="375"/>
      <c r="J266" s="375"/>
      <c r="K266" s="375"/>
      <c r="L266" s="375"/>
      <c r="M266" s="375"/>
      <c r="N266" s="375"/>
      <c r="O266" s="375"/>
      <c r="P266" s="375"/>
      <c r="Q266" s="375"/>
      <c r="R266" s="16"/>
      <c r="U266" s="375"/>
      <c r="V266" s="375"/>
      <c r="W266" s="375"/>
      <c r="X266" s="375"/>
      <c r="Y266" s="375"/>
      <c r="Z266" s="375"/>
      <c r="AA266" s="375"/>
      <c r="AB266" s="375"/>
      <c r="AC266" s="375"/>
      <c r="AD266" s="375"/>
      <c r="AE266" s="375"/>
      <c r="AF266" s="375"/>
      <c r="AG266" s="375"/>
      <c r="AH266" s="375"/>
      <c r="AI266" s="375"/>
      <c r="AJ266" s="375"/>
      <c r="AK266" s="16"/>
    </row>
    <row r="267" spans="1:37">
      <c r="A267" s="375"/>
      <c r="B267" s="375"/>
      <c r="C267" s="375"/>
      <c r="D267" s="375"/>
      <c r="E267" s="375"/>
      <c r="F267" s="375"/>
      <c r="G267" s="375"/>
      <c r="H267" s="375"/>
      <c r="I267" s="375"/>
      <c r="J267" s="375"/>
      <c r="K267" s="375"/>
      <c r="L267" s="375"/>
      <c r="M267" s="375"/>
      <c r="N267" s="375"/>
      <c r="O267" s="375"/>
      <c r="P267" s="375"/>
      <c r="Q267" s="375"/>
      <c r="R267" s="16"/>
      <c r="U267" s="375"/>
      <c r="V267" s="375"/>
      <c r="W267" s="375"/>
      <c r="X267" s="375"/>
      <c r="Y267" s="375"/>
      <c r="Z267" s="375"/>
      <c r="AA267" s="375"/>
      <c r="AB267" s="375"/>
      <c r="AC267" s="375"/>
      <c r="AD267" s="375"/>
      <c r="AE267" s="375"/>
      <c r="AF267" s="375"/>
      <c r="AG267" s="375"/>
      <c r="AH267" s="375"/>
      <c r="AI267" s="375"/>
      <c r="AJ267" s="375"/>
      <c r="AK267" s="16"/>
    </row>
    <row r="268" spans="1:37">
      <c r="A268" s="375"/>
      <c r="B268" s="375"/>
      <c r="C268" s="375"/>
      <c r="D268" s="375"/>
      <c r="E268" s="375"/>
      <c r="F268" s="375"/>
      <c r="G268" s="375"/>
      <c r="H268" s="375"/>
      <c r="I268" s="375"/>
      <c r="J268" s="375"/>
      <c r="K268" s="375"/>
      <c r="L268" s="375"/>
      <c r="M268" s="375"/>
      <c r="N268" s="375"/>
      <c r="O268" s="375"/>
      <c r="P268" s="375"/>
      <c r="Q268" s="375"/>
      <c r="R268" s="16"/>
      <c r="U268" s="375"/>
      <c r="V268" s="375"/>
      <c r="W268" s="375"/>
      <c r="X268" s="375"/>
      <c r="Y268" s="375"/>
      <c r="Z268" s="375"/>
      <c r="AA268" s="375"/>
      <c r="AB268" s="375"/>
      <c r="AC268" s="375"/>
      <c r="AD268" s="375"/>
      <c r="AE268" s="375"/>
      <c r="AF268" s="375"/>
      <c r="AG268" s="375"/>
      <c r="AH268" s="375"/>
      <c r="AI268" s="375"/>
      <c r="AJ268" s="375"/>
      <c r="AK268" s="16"/>
    </row>
    <row r="269" spans="1:37">
      <c r="A269" s="375"/>
      <c r="B269" s="375"/>
      <c r="C269" s="375"/>
      <c r="D269" s="375"/>
      <c r="E269" s="375"/>
      <c r="F269" s="375"/>
      <c r="G269" s="375"/>
      <c r="H269" s="375"/>
      <c r="I269" s="375"/>
      <c r="J269" s="375"/>
      <c r="K269" s="375"/>
      <c r="L269" s="375"/>
      <c r="M269" s="375"/>
      <c r="N269" s="375"/>
      <c r="O269" s="375"/>
      <c r="P269" s="375"/>
      <c r="Q269" s="375"/>
      <c r="R269" s="16"/>
      <c r="U269" s="375"/>
      <c r="V269" s="375"/>
      <c r="W269" s="375"/>
      <c r="X269" s="375"/>
      <c r="Y269" s="375"/>
      <c r="Z269" s="375"/>
      <c r="AA269" s="375"/>
      <c r="AB269" s="375"/>
      <c r="AC269" s="375"/>
      <c r="AD269" s="375"/>
      <c r="AE269" s="375"/>
      <c r="AF269" s="375"/>
      <c r="AG269" s="375"/>
      <c r="AH269" s="375"/>
      <c r="AI269" s="375"/>
      <c r="AJ269" s="375"/>
      <c r="AK269" s="16"/>
    </row>
    <row r="270" spans="1:37">
      <c r="A270" s="506"/>
      <c r="B270" s="506"/>
      <c r="C270" s="375"/>
      <c r="D270" s="375"/>
      <c r="E270" s="375"/>
      <c r="F270" s="375"/>
      <c r="G270" s="375"/>
      <c r="H270" s="375"/>
      <c r="I270" s="375"/>
      <c r="J270" s="375"/>
      <c r="K270" s="375"/>
      <c r="L270" s="375"/>
      <c r="M270" s="375"/>
      <c r="N270" s="375"/>
      <c r="O270" s="375"/>
      <c r="P270" s="375"/>
      <c r="Q270" s="375"/>
      <c r="R270" s="16"/>
      <c r="U270" s="506"/>
      <c r="V270" s="375"/>
      <c r="W270" s="375"/>
      <c r="X270" s="375"/>
      <c r="Y270" s="375"/>
      <c r="Z270" s="375"/>
      <c r="AA270" s="375"/>
      <c r="AB270" s="375"/>
      <c r="AC270" s="375"/>
      <c r="AD270" s="375"/>
      <c r="AE270" s="375"/>
      <c r="AF270" s="375"/>
      <c r="AG270" s="375"/>
      <c r="AH270" s="375"/>
      <c r="AI270" s="375"/>
      <c r="AJ270" s="375"/>
      <c r="AK270" s="16"/>
    </row>
    <row r="271" spans="1:37">
      <c r="A271" s="375"/>
      <c r="B271" s="375"/>
      <c r="C271" s="375"/>
      <c r="D271" s="375"/>
      <c r="E271" s="375"/>
      <c r="F271" s="375"/>
      <c r="G271" s="375"/>
      <c r="H271" s="375"/>
      <c r="I271" s="375"/>
      <c r="J271" s="375"/>
      <c r="K271" s="375"/>
      <c r="L271" s="375"/>
      <c r="M271" s="375"/>
      <c r="N271" s="375"/>
      <c r="O271" s="375"/>
      <c r="P271" s="375"/>
      <c r="Q271" s="375"/>
      <c r="R271" s="16"/>
      <c r="U271" s="375"/>
      <c r="V271" s="375"/>
      <c r="W271" s="375"/>
      <c r="X271" s="375"/>
      <c r="Y271" s="375"/>
      <c r="Z271" s="375"/>
      <c r="AA271" s="375"/>
      <c r="AB271" s="375"/>
      <c r="AC271" s="375"/>
      <c r="AD271" s="375"/>
      <c r="AE271" s="375"/>
      <c r="AF271" s="375"/>
      <c r="AG271" s="375"/>
      <c r="AH271" s="375"/>
      <c r="AI271" s="375"/>
      <c r="AJ271" s="375"/>
      <c r="AK271" s="16"/>
    </row>
    <row r="272" spans="1:37">
      <c r="A272" s="375"/>
      <c r="B272" s="375"/>
      <c r="C272" s="375"/>
      <c r="D272" s="375"/>
      <c r="E272" s="375"/>
      <c r="F272" s="375"/>
      <c r="G272" s="375"/>
      <c r="H272" s="375"/>
      <c r="I272" s="375"/>
      <c r="J272" s="375"/>
      <c r="K272" s="375"/>
      <c r="L272" s="375"/>
      <c r="M272" s="375"/>
      <c r="N272" s="375"/>
      <c r="O272" s="375"/>
      <c r="P272" s="375"/>
      <c r="Q272" s="375"/>
      <c r="R272" s="16"/>
      <c r="U272" s="375"/>
      <c r="V272" s="375"/>
      <c r="W272" s="375"/>
      <c r="X272" s="375"/>
      <c r="Y272" s="375"/>
      <c r="Z272" s="375"/>
      <c r="AA272" s="375"/>
      <c r="AB272" s="375"/>
      <c r="AC272" s="375"/>
      <c r="AD272" s="375"/>
      <c r="AE272" s="375"/>
      <c r="AF272" s="375"/>
      <c r="AG272" s="375"/>
      <c r="AH272" s="375"/>
      <c r="AI272" s="375"/>
      <c r="AJ272" s="375"/>
      <c r="AK272" s="16"/>
    </row>
    <row r="273" spans="1:37">
      <c r="A273" s="375"/>
      <c r="B273" s="375"/>
      <c r="C273" s="375"/>
      <c r="D273" s="375"/>
      <c r="E273" s="375"/>
      <c r="F273" s="375"/>
      <c r="G273" s="375"/>
      <c r="H273" s="375"/>
      <c r="I273" s="375"/>
      <c r="J273" s="375"/>
      <c r="K273" s="375"/>
      <c r="L273" s="375"/>
      <c r="M273" s="375"/>
      <c r="N273" s="375"/>
      <c r="O273" s="375"/>
      <c r="P273" s="375"/>
      <c r="Q273" s="375"/>
      <c r="R273" s="16"/>
      <c r="U273" s="375"/>
      <c r="V273" s="375"/>
      <c r="W273" s="375"/>
      <c r="X273" s="375"/>
      <c r="Y273" s="375"/>
      <c r="Z273" s="375"/>
      <c r="AA273" s="375"/>
      <c r="AB273" s="375"/>
      <c r="AC273" s="375"/>
      <c r="AD273" s="375"/>
      <c r="AE273" s="375"/>
      <c r="AF273" s="375"/>
      <c r="AG273" s="375"/>
      <c r="AH273" s="375"/>
      <c r="AI273" s="375"/>
      <c r="AJ273" s="375"/>
      <c r="AK273" s="16"/>
    </row>
    <row r="274" spans="1:37">
      <c r="A274" s="375"/>
      <c r="B274" s="375"/>
      <c r="C274" s="375"/>
      <c r="D274" s="375"/>
      <c r="E274" s="375"/>
      <c r="F274" s="375"/>
      <c r="G274" s="375"/>
      <c r="H274" s="375"/>
      <c r="I274" s="375"/>
      <c r="J274" s="375"/>
      <c r="K274" s="375"/>
      <c r="L274" s="375"/>
      <c r="M274" s="375"/>
      <c r="N274" s="375"/>
      <c r="O274" s="375"/>
      <c r="P274" s="375"/>
      <c r="Q274" s="375"/>
      <c r="R274" s="16"/>
      <c r="U274" s="375"/>
      <c r="V274" s="375"/>
      <c r="W274" s="375"/>
      <c r="X274" s="375"/>
      <c r="Y274" s="375"/>
      <c r="Z274" s="375"/>
      <c r="AA274" s="375"/>
      <c r="AB274" s="375"/>
      <c r="AC274" s="375"/>
      <c r="AD274" s="375"/>
      <c r="AE274" s="375"/>
      <c r="AF274" s="375"/>
      <c r="AG274" s="375"/>
      <c r="AH274" s="375"/>
      <c r="AI274" s="375"/>
      <c r="AJ274" s="375"/>
      <c r="AK274" s="16"/>
    </row>
    <row r="275" spans="1:37">
      <c r="A275" s="375"/>
      <c r="B275" s="375"/>
      <c r="C275" s="375"/>
      <c r="D275" s="375"/>
      <c r="E275" s="375"/>
      <c r="F275" s="375"/>
      <c r="G275" s="375"/>
      <c r="H275" s="375"/>
      <c r="I275" s="375"/>
      <c r="J275" s="375"/>
      <c r="K275" s="375"/>
      <c r="L275" s="375"/>
      <c r="M275" s="375"/>
      <c r="N275" s="375"/>
      <c r="O275" s="375"/>
      <c r="P275" s="375"/>
      <c r="Q275" s="375"/>
      <c r="R275" s="16"/>
      <c r="U275" s="375"/>
      <c r="V275" s="375"/>
      <c r="W275" s="375"/>
      <c r="X275" s="375"/>
      <c r="Y275" s="375"/>
      <c r="Z275" s="375"/>
      <c r="AA275" s="375"/>
      <c r="AB275" s="375"/>
      <c r="AC275" s="375"/>
      <c r="AD275" s="375"/>
      <c r="AE275" s="375"/>
      <c r="AF275" s="375"/>
      <c r="AG275" s="375"/>
      <c r="AH275" s="375"/>
      <c r="AI275" s="375"/>
      <c r="AJ275" s="375"/>
      <c r="AK275" s="16"/>
    </row>
    <row r="276" spans="1:37">
      <c r="A276" s="506"/>
      <c r="B276" s="506"/>
      <c r="C276" s="375"/>
      <c r="D276" s="375"/>
      <c r="E276" s="375"/>
      <c r="F276" s="375"/>
      <c r="G276" s="375"/>
      <c r="H276" s="375"/>
      <c r="I276" s="375"/>
      <c r="J276" s="375"/>
      <c r="K276" s="375"/>
      <c r="L276" s="375"/>
      <c r="M276" s="375"/>
      <c r="N276" s="375"/>
      <c r="O276" s="375"/>
      <c r="P276" s="375"/>
      <c r="Q276" s="375"/>
      <c r="R276" s="16"/>
      <c r="U276" s="506"/>
      <c r="V276" s="375"/>
      <c r="W276" s="375"/>
      <c r="X276" s="375"/>
      <c r="Y276" s="375"/>
      <c r="Z276" s="375"/>
      <c r="AA276" s="375"/>
      <c r="AB276" s="375"/>
      <c r="AC276" s="375"/>
      <c r="AD276" s="375"/>
      <c r="AE276" s="375"/>
      <c r="AF276" s="375"/>
      <c r="AG276" s="375"/>
      <c r="AH276" s="375"/>
      <c r="AI276" s="375"/>
      <c r="AJ276" s="375"/>
      <c r="AK276" s="16"/>
    </row>
    <row r="277" spans="1:37">
      <c r="A277" s="375"/>
      <c r="B277" s="375"/>
      <c r="C277" s="375"/>
      <c r="D277" s="375"/>
      <c r="E277" s="375"/>
      <c r="F277" s="375"/>
      <c r="G277" s="375"/>
      <c r="H277" s="375"/>
      <c r="I277" s="375"/>
      <c r="J277" s="375"/>
      <c r="K277" s="375"/>
      <c r="L277" s="375"/>
      <c r="M277" s="375"/>
      <c r="N277" s="375"/>
      <c r="O277" s="375"/>
      <c r="P277" s="375"/>
      <c r="Q277" s="375"/>
      <c r="R277" s="16"/>
      <c r="U277" s="375"/>
      <c r="V277" s="375"/>
      <c r="W277" s="375"/>
      <c r="X277" s="375"/>
      <c r="Y277" s="375"/>
      <c r="Z277" s="375"/>
      <c r="AA277" s="375"/>
      <c r="AB277" s="375"/>
      <c r="AC277" s="375"/>
      <c r="AD277" s="375"/>
      <c r="AE277" s="375"/>
      <c r="AF277" s="375"/>
      <c r="AG277" s="375"/>
      <c r="AH277" s="375"/>
      <c r="AI277" s="375"/>
      <c r="AJ277" s="375"/>
      <c r="AK277" s="16"/>
    </row>
    <row r="278" spans="1:37">
      <c r="A278" s="375"/>
      <c r="B278" s="375"/>
      <c r="C278" s="375"/>
      <c r="D278" s="375"/>
      <c r="E278" s="375"/>
      <c r="F278" s="375"/>
      <c r="G278" s="375"/>
      <c r="H278" s="375"/>
      <c r="I278" s="375"/>
      <c r="J278" s="375"/>
      <c r="K278" s="375"/>
      <c r="L278" s="375"/>
      <c r="M278" s="375"/>
      <c r="N278" s="375"/>
      <c r="O278" s="375"/>
      <c r="P278" s="375"/>
      <c r="Q278" s="375"/>
      <c r="R278" s="16"/>
      <c r="U278" s="375"/>
      <c r="V278" s="375"/>
      <c r="W278" s="375"/>
      <c r="X278" s="375"/>
      <c r="Y278" s="375"/>
      <c r="Z278" s="375"/>
      <c r="AA278" s="375"/>
      <c r="AB278" s="375"/>
      <c r="AC278" s="375"/>
      <c r="AD278" s="375"/>
      <c r="AE278" s="375"/>
      <c r="AF278" s="375"/>
      <c r="AG278" s="375"/>
      <c r="AH278" s="375"/>
      <c r="AI278" s="375"/>
      <c r="AJ278" s="375"/>
      <c r="AK278" s="16"/>
    </row>
    <row r="279" spans="1:37">
      <c r="A279" s="375"/>
      <c r="B279" s="375"/>
      <c r="C279" s="375"/>
      <c r="D279" s="375"/>
      <c r="E279" s="375"/>
      <c r="F279" s="375"/>
      <c r="G279" s="375"/>
      <c r="H279" s="375"/>
      <c r="I279" s="375"/>
      <c r="J279" s="375"/>
      <c r="K279" s="375"/>
      <c r="L279" s="375"/>
      <c r="M279" s="375"/>
      <c r="N279" s="375"/>
      <c r="O279" s="375"/>
      <c r="P279" s="375"/>
      <c r="Q279" s="375"/>
      <c r="R279" s="16"/>
      <c r="U279" s="375"/>
      <c r="V279" s="375"/>
      <c r="W279" s="375"/>
      <c r="X279" s="375"/>
      <c r="Y279" s="375"/>
      <c r="Z279" s="375"/>
      <c r="AA279" s="375"/>
      <c r="AB279" s="375"/>
      <c r="AC279" s="375"/>
      <c r="AD279" s="375"/>
      <c r="AE279" s="375"/>
      <c r="AF279" s="375"/>
      <c r="AG279" s="375"/>
      <c r="AH279" s="375"/>
      <c r="AI279" s="375"/>
      <c r="AJ279" s="375"/>
      <c r="AK279" s="16"/>
    </row>
    <row r="280" spans="1:37">
      <c r="A280" s="375"/>
      <c r="B280" s="375"/>
      <c r="C280" s="375"/>
      <c r="D280" s="375"/>
      <c r="E280" s="375"/>
      <c r="F280" s="375"/>
      <c r="G280" s="375"/>
      <c r="H280" s="375"/>
      <c r="I280" s="375"/>
      <c r="J280" s="375"/>
      <c r="K280" s="375"/>
      <c r="L280" s="375"/>
      <c r="M280" s="375"/>
      <c r="N280" s="375"/>
      <c r="O280" s="375"/>
      <c r="P280" s="375"/>
      <c r="Q280" s="375"/>
      <c r="R280" s="16"/>
      <c r="U280" s="375"/>
      <c r="V280" s="375"/>
      <c r="W280" s="375"/>
      <c r="X280" s="375"/>
      <c r="Y280" s="375"/>
      <c r="Z280" s="375"/>
      <c r="AA280" s="375"/>
      <c r="AB280" s="375"/>
      <c r="AC280" s="375"/>
      <c r="AD280" s="375"/>
      <c r="AE280" s="375"/>
      <c r="AF280" s="375"/>
      <c r="AG280" s="375"/>
      <c r="AH280" s="375"/>
      <c r="AI280" s="375"/>
      <c r="AJ280" s="375"/>
      <c r="AK280" s="16"/>
    </row>
    <row r="281" spans="1:37">
      <c r="A281" s="375"/>
      <c r="B281" s="375"/>
      <c r="C281" s="375"/>
      <c r="D281" s="375"/>
      <c r="E281" s="375"/>
      <c r="F281" s="375"/>
      <c r="G281" s="375"/>
      <c r="H281" s="375"/>
      <c r="I281" s="375"/>
      <c r="J281" s="375"/>
      <c r="K281" s="375"/>
      <c r="L281" s="375"/>
      <c r="M281" s="375"/>
      <c r="N281" s="375"/>
      <c r="O281" s="375"/>
      <c r="P281" s="375"/>
      <c r="Q281" s="375"/>
      <c r="R281" s="16"/>
      <c r="U281" s="375"/>
      <c r="V281" s="375"/>
      <c r="W281" s="375"/>
      <c r="X281" s="375"/>
      <c r="Y281" s="375"/>
      <c r="Z281" s="375"/>
      <c r="AA281" s="375"/>
      <c r="AB281" s="375"/>
      <c r="AC281" s="375"/>
      <c r="AD281" s="375"/>
      <c r="AE281" s="375"/>
      <c r="AF281" s="375"/>
      <c r="AG281" s="375"/>
      <c r="AH281" s="375"/>
      <c r="AI281" s="375"/>
      <c r="AJ281" s="375"/>
      <c r="AK281" s="16"/>
    </row>
    <row r="282" spans="1:37">
      <c r="A282" s="506"/>
      <c r="B282" s="506"/>
      <c r="C282" s="375"/>
      <c r="D282" s="375"/>
      <c r="E282" s="375"/>
      <c r="F282" s="375"/>
      <c r="G282" s="375"/>
      <c r="H282" s="375"/>
      <c r="I282" s="375"/>
      <c r="J282" s="375"/>
      <c r="K282" s="375"/>
      <c r="L282" s="375"/>
      <c r="M282" s="375"/>
      <c r="N282" s="375"/>
      <c r="O282" s="375"/>
      <c r="P282" s="375"/>
      <c r="Q282" s="375"/>
      <c r="R282" s="16"/>
      <c r="U282" s="506"/>
      <c r="V282" s="375"/>
      <c r="W282" s="375"/>
      <c r="X282" s="375"/>
      <c r="Y282" s="375"/>
      <c r="Z282" s="375"/>
      <c r="AA282" s="375"/>
      <c r="AB282" s="375"/>
      <c r="AC282" s="375"/>
      <c r="AD282" s="375"/>
      <c r="AE282" s="375"/>
      <c r="AF282" s="375"/>
      <c r="AG282" s="375"/>
      <c r="AH282" s="375"/>
      <c r="AI282" s="375"/>
      <c r="AJ282" s="375"/>
      <c r="AK282" s="16"/>
    </row>
    <row r="283" spans="1:37">
      <c r="A283" s="375"/>
      <c r="B283" s="375"/>
      <c r="C283" s="375"/>
      <c r="D283" s="375"/>
      <c r="E283" s="375"/>
      <c r="F283" s="375"/>
      <c r="G283" s="375"/>
      <c r="H283" s="375"/>
      <c r="I283" s="375"/>
      <c r="J283" s="375"/>
      <c r="K283" s="375"/>
      <c r="L283" s="375"/>
      <c r="M283" s="375"/>
      <c r="N283" s="375"/>
      <c r="O283" s="375"/>
      <c r="P283" s="375"/>
      <c r="Q283" s="375"/>
      <c r="R283" s="16"/>
      <c r="U283" s="375"/>
      <c r="V283" s="375"/>
      <c r="W283" s="375"/>
      <c r="X283" s="375"/>
      <c r="Y283" s="375"/>
      <c r="Z283" s="375"/>
      <c r="AA283" s="375"/>
      <c r="AB283" s="375"/>
      <c r="AC283" s="375"/>
      <c r="AD283" s="375"/>
      <c r="AE283" s="375"/>
      <c r="AF283" s="375"/>
      <c r="AG283" s="375"/>
      <c r="AH283" s="375"/>
      <c r="AI283" s="375"/>
      <c r="AJ283" s="375"/>
      <c r="AK283" s="16"/>
    </row>
    <row r="284" spans="1:37">
      <c r="A284" s="375"/>
      <c r="B284" s="375"/>
      <c r="C284" s="375"/>
      <c r="D284" s="375"/>
      <c r="E284" s="375"/>
      <c r="F284" s="375"/>
      <c r="G284" s="375"/>
      <c r="H284" s="375"/>
      <c r="I284" s="375"/>
      <c r="J284" s="375"/>
      <c r="K284" s="375"/>
      <c r="L284" s="375"/>
      <c r="M284" s="375"/>
      <c r="N284" s="375"/>
      <c r="O284" s="375"/>
      <c r="P284" s="375"/>
      <c r="Q284" s="375"/>
      <c r="R284" s="16"/>
      <c r="U284" s="375"/>
      <c r="V284" s="375"/>
      <c r="W284" s="375"/>
      <c r="X284" s="375"/>
      <c r="Y284" s="375"/>
      <c r="Z284" s="375"/>
      <c r="AA284" s="375"/>
      <c r="AB284" s="375"/>
      <c r="AC284" s="375"/>
      <c r="AD284" s="375"/>
      <c r="AE284" s="375"/>
      <c r="AF284" s="375"/>
      <c r="AG284" s="375"/>
      <c r="AH284" s="375"/>
      <c r="AI284" s="375"/>
      <c r="AJ284" s="375"/>
      <c r="AK284" s="16"/>
    </row>
    <row r="285" spans="1:37">
      <c r="A285" s="375"/>
      <c r="B285" s="375"/>
      <c r="C285" s="375"/>
      <c r="D285" s="375"/>
      <c r="E285" s="375"/>
      <c r="F285" s="375"/>
      <c r="G285" s="375"/>
      <c r="H285" s="375"/>
      <c r="I285" s="375"/>
      <c r="J285" s="375"/>
      <c r="K285" s="375"/>
      <c r="L285" s="375"/>
      <c r="M285" s="375"/>
      <c r="N285" s="375"/>
      <c r="O285" s="375"/>
      <c r="P285" s="375"/>
      <c r="Q285" s="375"/>
      <c r="R285" s="16"/>
      <c r="U285" s="375"/>
      <c r="V285" s="375"/>
      <c r="W285" s="375"/>
      <c r="X285" s="375"/>
      <c r="Y285" s="375"/>
      <c r="Z285" s="375"/>
      <c r="AA285" s="375"/>
      <c r="AB285" s="375"/>
      <c r="AC285" s="375"/>
      <c r="AD285" s="375"/>
      <c r="AE285" s="375"/>
      <c r="AF285" s="375"/>
      <c r="AG285" s="375"/>
      <c r="AH285" s="375"/>
      <c r="AI285" s="375"/>
      <c r="AJ285" s="375"/>
      <c r="AK285" s="16"/>
    </row>
    <row r="286" spans="1:37">
      <c r="A286" s="375"/>
      <c r="B286" s="375"/>
      <c r="C286" s="375"/>
      <c r="D286" s="375"/>
      <c r="E286" s="375"/>
      <c r="F286" s="375"/>
      <c r="G286" s="375"/>
      <c r="H286" s="375"/>
      <c r="I286" s="375"/>
      <c r="J286" s="375"/>
      <c r="K286" s="375"/>
      <c r="L286" s="375"/>
      <c r="M286" s="375"/>
      <c r="N286" s="375"/>
      <c r="O286" s="375"/>
      <c r="P286" s="375"/>
      <c r="Q286" s="375"/>
      <c r="R286" s="16"/>
      <c r="U286" s="375"/>
      <c r="V286" s="375"/>
      <c r="W286" s="375"/>
      <c r="X286" s="375"/>
      <c r="Y286" s="375"/>
      <c r="Z286" s="375"/>
      <c r="AA286" s="375"/>
      <c r="AB286" s="375"/>
      <c r="AC286" s="375"/>
      <c r="AD286" s="375"/>
      <c r="AE286" s="375"/>
      <c r="AF286" s="375"/>
      <c r="AG286" s="375"/>
      <c r="AH286" s="375"/>
      <c r="AI286" s="375"/>
      <c r="AJ286" s="375"/>
      <c r="AK286" s="16"/>
    </row>
    <row r="287" spans="1:37">
      <c r="A287" s="375"/>
      <c r="B287" s="375"/>
      <c r="C287" s="375"/>
      <c r="D287" s="375"/>
      <c r="E287" s="375"/>
      <c r="F287" s="375"/>
      <c r="G287" s="375"/>
      <c r="H287" s="375"/>
      <c r="I287" s="375"/>
      <c r="J287" s="375"/>
      <c r="K287" s="375"/>
      <c r="L287" s="375"/>
      <c r="M287" s="375"/>
      <c r="N287" s="375"/>
      <c r="O287" s="375"/>
      <c r="P287" s="375"/>
      <c r="Q287" s="375"/>
      <c r="R287" s="16"/>
      <c r="U287" s="375"/>
      <c r="V287" s="375"/>
      <c r="W287" s="375"/>
      <c r="X287" s="375"/>
      <c r="Y287" s="375"/>
      <c r="Z287" s="375"/>
      <c r="AA287" s="375"/>
      <c r="AB287" s="375"/>
      <c r="AC287" s="375"/>
      <c r="AD287" s="375"/>
      <c r="AE287" s="375"/>
      <c r="AF287" s="375"/>
      <c r="AG287" s="375"/>
      <c r="AH287" s="375"/>
      <c r="AI287" s="375"/>
      <c r="AJ287" s="375"/>
      <c r="AK287" s="16"/>
    </row>
    <row r="288" spans="1:37">
      <c r="A288" s="506"/>
      <c r="B288" s="506"/>
      <c r="C288" s="375"/>
      <c r="D288" s="375"/>
      <c r="E288" s="375"/>
      <c r="F288" s="375"/>
      <c r="G288" s="375"/>
      <c r="H288" s="375"/>
      <c r="I288" s="375"/>
      <c r="J288" s="375"/>
      <c r="K288" s="375"/>
      <c r="L288" s="375"/>
      <c r="M288" s="375"/>
      <c r="N288" s="375"/>
      <c r="O288" s="375"/>
      <c r="P288" s="375"/>
      <c r="Q288" s="375"/>
      <c r="R288" s="16"/>
      <c r="U288" s="506"/>
      <c r="V288" s="375"/>
      <c r="W288" s="375"/>
      <c r="X288" s="375"/>
      <c r="Y288" s="375"/>
      <c r="Z288" s="375"/>
      <c r="AA288" s="375"/>
      <c r="AB288" s="375"/>
      <c r="AC288" s="375"/>
      <c r="AD288" s="375"/>
      <c r="AE288" s="375"/>
      <c r="AF288" s="375"/>
      <c r="AG288" s="375"/>
      <c r="AH288" s="375"/>
      <c r="AI288" s="375"/>
      <c r="AJ288" s="375"/>
      <c r="AK288" s="16"/>
    </row>
    <row r="289" spans="1:37">
      <c r="A289" s="375"/>
      <c r="B289" s="375"/>
      <c r="C289" s="375"/>
      <c r="D289" s="375"/>
      <c r="E289" s="375"/>
      <c r="F289" s="375"/>
      <c r="G289" s="375"/>
      <c r="H289" s="375"/>
      <c r="I289" s="375"/>
      <c r="J289" s="375"/>
      <c r="K289" s="375"/>
      <c r="L289" s="375"/>
      <c r="M289" s="375"/>
      <c r="N289" s="375"/>
      <c r="O289" s="375"/>
      <c r="P289" s="375"/>
      <c r="Q289" s="375"/>
      <c r="R289" s="16"/>
      <c r="U289" s="375"/>
      <c r="V289" s="375"/>
      <c r="W289" s="375"/>
      <c r="X289" s="375"/>
      <c r="Y289" s="375"/>
      <c r="Z289" s="375"/>
      <c r="AA289" s="375"/>
      <c r="AB289" s="375"/>
      <c r="AC289" s="375"/>
      <c r="AD289" s="375"/>
      <c r="AE289" s="375"/>
      <c r="AF289" s="375"/>
      <c r="AG289" s="375"/>
      <c r="AH289" s="375"/>
      <c r="AI289" s="375"/>
      <c r="AJ289" s="375"/>
      <c r="AK289" s="16"/>
    </row>
    <row r="290" spans="1:37">
      <c r="A290" s="375"/>
      <c r="B290" s="375"/>
      <c r="C290" s="375"/>
      <c r="D290" s="375"/>
      <c r="E290" s="375"/>
      <c r="F290" s="375"/>
      <c r="G290" s="375"/>
      <c r="H290" s="375"/>
      <c r="I290" s="375"/>
      <c r="J290" s="375"/>
      <c r="K290" s="375"/>
      <c r="L290" s="375"/>
      <c r="M290" s="375"/>
      <c r="N290" s="375"/>
      <c r="O290" s="375"/>
      <c r="P290" s="375"/>
      <c r="Q290" s="375"/>
      <c r="R290" s="16"/>
      <c r="U290" s="375"/>
      <c r="V290" s="375"/>
      <c r="W290" s="375"/>
      <c r="X290" s="375"/>
      <c r="Y290" s="375"/>
      <c r="Z290" s="375"/>
      <c r="AA290" s="375"/>
      <c r="AB290" s="375"/>
      <c r="AC290" s="375"/>
      <c r="AD290" s="375"/>
      <c r="AE290" s="375"/>
      <c r="AF290" s="375"/>
      <c r="AG290" s="375"/>
      <c r="AH290" s="375"/>
      <c r="AI290" s="375"/>
      <c r="AJ290" s="375"/>
      <c r="AK290" s="16"/>
    </row>
    <row r="291" spans="1:37">
      <c r="A291" s="375"/>
      <c r="B291" s="375"/>
      <c r="C291" s="375"/>
      <c r="D291" s="375"/>
      <c r="E291" s="375"/>
      <c r="F291" s="375"/>
      <c r="G291" s="375"/>
      <c r="H291" s="375"/>
      <c r="I291" s="375"/>
      <c r="J291" s="375"/>
      <c r="K291" s="375"/>
      <c r="L291" s="375"/>
      <c r="M291" s="375"/>
      <c r="N291" s="375"/>
      <c r="O291" s="375"/>
      <c r="P291" s="375"/>
      <c r="Q291" s="375"/>
      <c r="R291" s="16"/>
      <c r="U291" s="375"/>
      <c r="V291" s="375"/>
      <c r="W291" s="375"/>
      <c r="X291" s="375"/>
      <c r="Y291" s="375"/>
      <c r="Z291" s="375"/>
      <c r="AA291" s="375"/>
      <c r="AB291" s="375"/>
      <c r="AC291" s="375"/>
      <c r="AD291" s="375"/>
      <c r="AE291" s="375"/>
      <c r="AF291" s="375"/>
      <c r="AG291" s="375"/>
      <c r="AH291" s="375"/>
      <c r="AI291" s="375"/>
      <c r="AJ291" s="375"/>
      <c r="AK291" s="16"/>
    </row>
    <row r="292" spans="1:37">
      <c r="A292" s="375"/>
      <c r="B292" s="375"/>
      <c r="C292" s="375"/>
      <c r="D292" s="375"/>
      <c r="E292" s="375"/>
      <c r="F292" s="375"/>
      <c r="G292" s="375"/>
      <c r="H292" s="375"/>
      <c r="I292" s="375"/>
      <c r="J292" s="375"/>
      <c r="K292" s="375"/>
      <c r="L292" s="375"/>
      <c r="M292" s="375"/>
      <c r="N292" s="375"/>
      <c r="O292" s="375"/>
      <c r="P292" s="375"/>
      <c r="Q292" s="375"/>
      <c r="R292" s="16"/>
      <c r="U292" s="375"/>
      <c r="V292" s="375"/>
      <c r="W292" s="375"/>
      <c r="X292" s="375"/>
      <c r="Y292" s="375"/>
      <c r="Z292" s="375"/>
      <c r="AA292" s="375"/>
      <c r="AB292" s="375"/>
      <c r="AC292" s="375"/>
      <c r="AD292" s="375"/>
      <c r="AE292" s="375"/>
      <c r="AF292" s="375"/>
      <c r="AG292" s="375"/>
      <c r="AH292" s="375"/>
      <c r="AI292" s="375"/>
      <c r="AJ292" s="375"/>
      <c r="AK292" s="16"/>
    </row>
    <row r="293" spans="1:37">
      <c r="A293" s="375"/>
      <c r="B293" s="375"/>
      <c r="C293" s="375"/>
      <c r="D293" s="375"/>
      <c r="E293" s="375"/>
      <c r="F293" s="375"/>
      <c r="G293" s="375"/>
      <c r="H293" s="375"/>
      <c r="I293" s="375"/>
      <c r="J293" s="375"/>
      <c r="K293" s="375"/>
      <c r="L293" s="375"/>
      <c r="M293" s="375"/>
      <c r="N293" s="375"/>
      <c r="O293" s="375"/>
      <c r="P293" s="375"/>
      <c r="Q293" s="375"/>
      <c r="R293" s="16"/>
      <c r="U293" s="375"/>
      <c r="V293" s="375"/>
      <c r="W293" s="375"/>
      <c r="X293" s="375"/>
      <c r="Y293" s="375"/>
      <c r="Z293" s="375"/>
      <c r="AA293" s="375"/>
      <c r="AB293" s="375"/>
      <c r="AC293" s="375"/>
      <c r="AD293" s="375"/>
      <c r="AE293" s="375"/>
      <c r="AF293" s="375"/>
      <c r="AG293" s="375"/>
      <c r="AH293" s="375"/>
      <c r="AI293" s="375"/>
      <c r="AJ293" s="375"/>
      <c r="AK293" s="16"/>
    </row>
    <row r="294" spans="1:37">
      <c r="A294" s="506"/>
      <c r="B294" s="506"/>
      <c r="C294" s="375"/>
      <c r="D294" s="375"/>
      <c r="E294" s="375"/>
      <c r="F294" s="375"/>
      <c r="G294" s="375"/>
      <c r="H294" s="375"/>
      <c r="I294" s="375"/>
      <c r="J294" s="375"/>
      <c r="K294" s="375"/>
      <c r="L294" s="375"/>
      <c r="M294" s="375"/>
      <c r="N294" s="375"/>
      <c r="O294" s="375"/>
      <c r="P294" s="375"/>
      <c r="Q294" s="375"/>
      <c r="R294" s="16"/>
      <c r="U294" s="506"/>
      <c r="V294" s="375"/>
      <c r="W294" s="375"/>
      <c r="X294" s="375"/>
      <c r="Y294" s="375"/>
      <c r="Z294" s="375"/>
      <c r="AA294" s="375"/>
      <c r="AB294" s="375"/>
      <c r="AC294" s="375"/>
      <c r="AD294" s="375"/>
      <c r="AE294" s="375"/>
      <c r="AF294" s="375"/>
      <c r="AG294" s="375"/>
      <c r="AH294" s="375"/>
      <c r="AI294" s="375"/>
      <c r="AJ294" s="375"/>
      <c r="AK294" s="16"/>
    </row>
    <row r="295" spans="1:37">
      <c r="A295" s="375"/>
      <c r="B295" s="375"/>
      <c r="C295" s="375"/>
      <c r="D295" s="375"/>
      <c r="E295" s="375"/>
      <c r="F295" s="375"/>
      <c r="G295" s="375"/>
      <c r="H295" s="375"/>
      <c r="I295" s="375"/>
      <c r="J295" s="375"/>
      <c r="K295" s="375"/>
      <c r="L295" s="375"/>
      <c r="M295" s="375"/>
      <c r="N295" s="375"/>
      <c r="O295" s="375"/>
      <c r="P295" s="375"/>
      <c r="Q295" s="375"/>
      <c r="R295" s="16"/>
      <c r="U295" s="375"/>
      <c r="V295" s="375"/>
      <c r="W295" s="375"/>
      <c r="X295" s="375"/>
      <c r="Y295" s="375"/>
      <c r="Z295" s="375"/>
      <c r="AA295" s="375"/>
      <c r="AB295" s="375"/>
      <c r="AC295" s="375"/>
      <c r="AD295" s="375"/>
      <c r="AE295" s="375"/>
      <c r="AF295" s="375"/>
      <c r="AG295" s="375"/>
      <c r="AH295" s="375"/>
      <c r="AI295" s="375"/>
      <c r="AJ295" s="375"/>
      <c r="AK295" s="16"/>
    </row>
    <row r="296" spans="1:37">
      <c r="A296" s="375"/>
      <c r="B296" s="375"/>
      <c r="C296" s="375"/>
      <c r="D296" s="375"/>
      <c r="E296" s="375"/>
      <c r="F296" s="375"/>
      <c r="G296" s="375"/>
      <c r="H296" s="375"/>
      <c r="I296" s="375"/>
      <c r="J296" s="375"/>
      <c r="K296" s="375"/>
      <c r="L296" s="375"/>
      <c r="M296" s="375"/>
      <c r="N296" s="375"/>
      <c r="O296" s="375"/>
      <c r="P296" s="375"/>
      <c r="Q296" s="375"/>
      <c r="R296" s="16"/>
      <c r="U296" s="375"/>
      <c r="V296" s="375"/>
      <c r="W296" s="375"/>
      <c r="X296" s="375"/>
      <c r="Y296" s="375"/>
      <c r="Z296" s="375"/>
      <c r="AA296" s="375"/>
      <c r="AB296" s="375"/>
      <c r="AC296" s="375"/>
      <c r="AD296" s="375"/>
      <c r="AE296" s="375"/>
      <c r="AF296" s="375"/>
      <c r="AG296" s="375"/>
      <c r="AH296" s="375"/>
      <c r="AI296" s="375"/>
      <c r="AJ296" s="375"/>
      <c r="AK296" s="16"/>
    </row>
    <row r="297" spans="1:37">
      <c r="A297" s="375"/>
      <c r="B297" s="375"/>
      <c r="C297" s="375"/>
      <c r="D297" s="375"/>
      <c r="E297" s="375"/>
      <c r="F297" s="375"/>
      <c r="G297" s="375"/>
      <c r="H297" s="375"/>
      <c r="I297" s="375"/>
      <c r="J297" s="375"/>
      <c r="K297" s="375"/>
      <c r="L297" s="375"/>
      <c r="M297" s="375"/>
      <c r="N297" s="375"/>
      <c r="O297" s="375"/>
      <c r="P297" s="375"/>
      <c r="Q297" s="375"/>
      <c r="R297" s="16"/>
      <c r="U297" s="375"/>
      <c r="V297" s="375"/>
      <c r="W297" s="375"/>
      <c r="X297" s="375"/>
      <c r="Y297" s="375"/>
      <c r="Z297" s="375"/>
      <c r="AA297" s="375"/>
      <c r="AB297" s="375"/>
      <c r="AC297" s="375"/>
      <c r="AD297" s="375"/>
      <c r="AE297" s="375"/>
      <c r="AF297" s="375"/>
      <c r="AG297" s="375"/>
      <c r="AH297" s="375"/>
      <c r="AI297" s="375"/>
      <c r="AJ297" s="375"/>
      <c r="AK297" s="16"/>
    </row>
    <row r="298" spans="1:37">
      <c r="A298" s="375"/>
      <c r="B298" s="375"/>
      <c r="C298" s="375"/>
      <c r="D298" s="375"/>
      <c r="E298" s="375"/>
      <c r="F298" s="375"/>
      <c r="G298" s="375"/>
      <c r="H298" s="375"/>
      <c r="I298" s="375"/>
      <c r="J298" s="375"/>
      <c r="K298" s="375"/>
      <c r="L298" s="375"/>
      <c r="M298" s="375"/>
      <c r="N298" s="375"/>
      <c r="O298" s="375"/>
      <c r="P298" s="375"/>
      <c r="Q298" s="375"/>
      <c r="R298" s="16"/>
      <c r="U298" s="375"/>
      <c r="V298" s="375"/>
      <c r="W298" s="375"/>
      <c r="X298" s="375"/>
      <c r="Y298" s="375"/>
      <c r="Z298" s="375"/>
      <c r="AA298" s="375"/>
      <c r="AB298" s="375"/>
      <c r="AC298" s="375"/>
      <c r="AD298" s="375"/>
      <c r="AE298" s="375"/>
      <c r="AF298" s="375"/>
      <c r="AG298" s="375"/>
      <c r="AH298" s="375"/>
      <c r="AI298" s="375"/>
      <c r="AJ298" s="375"/>
      <c r="AK298" s="16"/>
    </row>
    <row r="299" spans="1:37">
      <c r="A299" s="375"/>
      <c r="B299" s="375"/>
      <c r="C299" s="375"/>
      <c r="D299" s="375"/>
      <c r="E299" s="375"/>
      <c r="F299" s="375"/>
      <c r="G299" s="375"/>
      <c r="H299" s="375"/>
      <c r="I299" s="375"/>
      <c r="J299" s="375"/>
      <c r="K299" s="375"/>
      <c r="L299" s="375"/>
      <c r="M299" s="375"/>
      <c r="N299" s="375"/>
      <c r="O299" s="375"/>
      <c r="P299" s="375"/>
      <c r="Q299" s="375"/>
      <c r="R299" s="16"/>
      <c r="U299" s="375"/>
      <c r="V299" s="375"/>
      <c r="W299" s="375"/>
      <c r="X299" s="375"/>
      <c r="Y299" s="375"/>
      <c r="Z299" s="375"/>
      <c r="AA299" s="375"/>
      <c r="AB299" s="375"/>
      <c r="AC299" s="375"/>
      <c r="AD299" s="375"/>
      <c r="AE299" s="375"/>
      <c r="AF299" s="375"/>
      <c r="AG299" s="375"/>
      <c r="AH299" s="375"/>
      <c r="AI299" s="375"/>
      <c r="AJ299" s="375"/>
      <c r="AK299" s="16"/>
    </row>
    <row r="300" spans="1:37">
      <c r="A300" s="506"/>
      <c r="B300" s="506"/>
      <c r="C300" s="375"/>
      <c r="D300" s="375"/>
      <c r="E300" s="375"/>
      <c r="F300" s="375"/>
      <c r="G300" s="375"/>
      <c r="H300" s="375"/>
      <c r="I300" s="375"/>
      <c r="J300" s="375"/>
      <c r="K300" s="375"/>
      <c r="L300" s="375"/>
      <c r="M300" s="375"/>
      <c r="N300" s="375"/>
      <c r="O300" s="375"/>
      <c r="P300" s="375"/>
      <c r="Q300" s="375"/>
      <c r="R300" s="16"/>
      <c r="U300" s="506"/>
      <c r="V300" s="375"/>
      <c r="W300" s="375"/>
      <c r="X300" s="375"/>
      <c r="Y300" s="375"/>
      <c r="Z300" s="375"/>
      <c r="AA300" s="375"/>
      <c r="AB300" s="375"/>
      <c r="AC300" s="375"/>
      <c r="AD300" s="375"/>
      <c r="AE300" s="375"/>
      <c r="AF300" s="375"/>
      <c r="AG300" s="375"/>
      <c r="AH300" s="375"/>
      <c r="AI300" s="375"/>
      <c r="AJ300" s="375"/>
      <c r="AK300" s="16"/>
    </row>
    <row r="301" spans="1:37">
      <c r="A301" s="375"/>
      <c r="B301" s="375"/>
      <c r="C301" s="375"/>
      <c r="D301" s="375"/>
      <c r="E301" s="375"/>
      <c r="F301" s="375"/>
      <c r="G301" s="375"/>
      <c r="H301" s="375"/>
      <c r="I301" s="375"/>
      <c r="J301" s="375"/>
      <c r="K301" s="375"/>
      <c r="L301" s="375"/>
      <c r="M301" s="375"/>
      <c r="N301" s="375"/>
      <c r="O301" s="375"/>
      <c r="P301" s="375"/>
      <c r="Q301" s="375"/>
      <c r="R301" s="16"/>
      <c r="U301" s="375"/>
      <c r="V301" s="375"/>
      <c r="W301" s="375"/>
      <c r="X301" s="375"/>
      <c r="Y301" s="375"/>
      <c r="Z301" s="375"/>
      <c r="AA301" s="375"/>
      <c r="AB301" s="375"/>
      <c r="AC301" s="375"/>
      <c r="AD301" s="375"/>
      <c r="AE301" s="375"/>
      <c r="AF301" s="375"/>
      <c r="AG301" s="375"/>
      <c r="AH301" s="375"/>
      <c r="AI301" s="375"/>
      <c r="AJ301" s="375"/>
      <c r="AK301" s="16"/>
    </row>
    <row r="302" spans="1:37">
      <c r="A302" s="375"/>
      <c r="B302" s="375"/>
      <c r="C302" s="375"/>
      <c r="D302" s="375"/>
      <c r="E302" s="375"/>
      <c r="F302" s="375"/>
      <c r="G302" s="375"/>
      <c r="H302" s="375"/>
      <c r="I302" s="375"/>
      <c r="J302" s="375"/>
      <c r="K302" s="375"/>
      <c r="L302" s="375"/>
      <c r="M302" s="375"/>
      <c r="N302" s="375"/>
      <c r="O302" s="375"/>
      <c r="P302" s="375"/>
      <c r="Q302" s="375"/>
      <c r="R302" s="16"/>
      <c r="U302" s="375"/>
      <c r="V302" s="375"/>
      <c r="W302" s="375"/>
      <c r="X302" s="375"/>
      <c r="Y302" s="375"/>
      <c r="Z302" s="375"/>
      <c r="AA302" s="375"/>
      <c r="AB302" s="375"/>
      <c r="AC302" s="375"/>
      <c r="AD302" s="375"/>
      <c r="AE302" s="375"/>
      <c r="AF302" s="375"/>
      <c r="AG302" s="375"/>
      <c r="AH302" s="375"/>
      <c r="AI302" s="375"/>
      <c r="AJ302" s="375"/>
      <c r="AK302" s="16"/>
    </row>
    <row r="303" spans="1:37">
      <c r="A303" s="375"/>
      <c r="B303" s="375"/>
      <c r="C303" s="375"/>
      <c r="D303" s="375"/>
      <c r="E303" s="375"/>
      <c r="F303" s="375"/>
      <c r="G303" s="375"/>
      <c r="H303" s="375"/>
      <c r="I303" s="375"/>
      <c r="J303" s="375"/>
      <c r="K303" s="375"/>
      <c r="L303" s="375"/>
      <c r="M303" s="375"/>
      <c r="N303" s="375"/>
      <c r="O303" s="375"/>
      <c r="P303" s="375"/>
      <c r="Q303" s="375"/>
      <c r="R303" s="16"/>
      <c r="U303" s="375"/>
      <c r="V303" s="375"/>
      <c r="W303" s="375"/>
      <c r="X303" s="375"/>
      <c r="Y303" s="375"/>
      <c r="Z303" s="375"/>
      <c r="AA303" s="375"/>
      <c r="AB303" s="375"/>
      <c r="AC303" s="375"/>
      <c r="AD303" s="375"/>
      <c r="AE303" s="375"/>
      <c r="AF303" s="375"/>
      <c r="AG303" s="375"/>
      <c r="AH303" s="375"/>
      <c r="AI303" s="375"/>
      <c r="AJ303" s="375"/>
      <c r="AK303" s="16"/>
    </row>
    <row r="304" spans="1:37">
      <c r="A304" s="375"/>
      <c r="B304" s="375"/>
      <c r="C304" s="375"/>
      <c r="D304" s="375"/>
      <c r="E304" s="375"/>
      <c r="F304" s="375"/>
      <c r="G304" s="375"/>
      <c r="H304" s="375"/>
      <c r="I304" s="375"/>
      <c r="J304" s="375"/>
      <c r="K304" s="375"/>
      <c r="L304" s="375"/>
      <c r="M304" s="375"/>
      <c r="N304" s="375"/>
      <c r="O304" s="375"/>
      <c r="P304" s="375"/>
      <c r="Q304" s="375"/>
      <c r="R304" s="16"/>
      <c r="U304" s="375"/>
      <c r="V304" s="375"/>
      <c r="W304" s="375"/>
      <c r="X304" s="375"/>
      <c r="Y304" s="375"/>
      <c r="Z304" s="375"/>
      <c r="AA304" s="375"/>
      <c r="AB304" s="375"/>
      <c r="AC304" s="375"/>
      <c r="AD304" s="375"/>
      <c r="AE304" s="375"/>
      <c r="AF304" s="375"/>
      <c r="AG304" s="375"/>
      <c r="AH304" s="375"/>
      <c r="AI304" s="375"/>
      <c r="AJ304" s="375"/>
      <c r="AK304" s="16"/>
    </row>
    <row r="305" spans="1:37">
      <c r="A305" s="375"/>
      <c r="B305" s="375"/>
      <c r="C305" s="375"/>
      <c r="D305" s="375"/>
      <c r="E305" s="375"/>
      <c r="F305" s="375"/>
      <c r="G305" s="375"/>
      <c r="H305" s="375"/>
      <c r="I305" s="375"/>
      <c r="J305" s="375"/>
      <c r="K305" s="375"/>
      <c r="L305" s="375"/>
      <c r="M305" s="375"/>
      <c r="N305" s="375"/>
      <c r="O305" s="375"/>
      <c r="P305" s="375"/>
      <c r="Q305" s="375"/>
      <c r="R305" s="16"/>
      <c r="U305" s="375"/>
      <c r="V305" s="375"/>
      <c r="W305" s="375"/>
      <c r="X305" s="375"/>
      <c r="Y305" s="375"/>
      <c r="Z305" s="375"/>
      <c r="AA305" s="375"/>
      <c r="AB305" s="375"/>
      <c r="AC305" s="375"/>
      <c r="AD305" s="375"/>
      <c r="AE305" s="375"/>
      <c r="AF305" s="375"/>
      <c r="AG305" s="375"/>
      <c r="AH305" s="375"/>
      <c r="AI305" s="375"/>
      <c r="AJ305" s="375"/>
      <c r="AK305" s="16"/>
    </row>
    <row r="306" spans="1:37">
      <c r="A306" s="506"/>
      <c r="B306" s="506"/>
      <c r="C306" s="375"/>
      <c r="D306" s="375"/>
      <c r="E306" s="375"/>
      <c r="F306" s="375"/>
      <c r="G306" s="375"/>
      <c r="H306" s="375"/>
      <c r="I306" s="375"/>
      <c r="J306" s="375"/>
      <c r="K306" s="375"/>
      <c r="L306" s="375"/>
      <c r="M306" s="375"/>
      <c r="N306" s="375"/>
      <c r="O306" s="375"/>
      <c r="P306" s="375"/>
      <c r="Q306" s="375"/>
      <c r="R306" s="16"/>
      <c r="U306" s="506"/>
      <c r="V306" s="375"/>
      <c r="W306" s="375"/>
      <c r="X306" s="375"/>
      <c r="Y306" s="375"/>
      <c r="Z306" s="375"/>
      <c r="AA306" s="375"/>
      <c r="AB306" s="375"/>
      <c r="AC306" s="375"/>
      <c r="AD306" s="375"/>
      <c r="AE306" s="375"/>
      <c r="AF306" s="375"/>
      <c r="AG306" s="375"/>
      <c r="AH306" s="375"/>
      <c r="AI306" s="375"/>
      <c r="AJ306" s="375"/>
      <c r="AK306" s="16"/>
    </row>
    <row r="307" spans="1:37">
      <c r="A307" s="375"/>
      <c r="B307" s="375"/>
      <c r="C307" s="375"/>
      <c r="D307" s="375"/>
      <c r="E307" s="375"/>
      <c r="F307" s="375"/>
      <c r="G307" s="375"/>
      <c r="H307" s="375"/>
      <c r="I307" s="375"/>
      <c r="J307" s="375"/>
      <c r="K307" s="375"/>
      <c r="L307" s="375"/>
      <c r="M307" s="375"/>
      <c r="N307" s="375"/>
      <c r="O307" s="375"/>
      <c r="P307" s="375"/>
      <c r="Q307" s="375"/>
      <c r="R307" s="16"/>
      <c r="U307" s="375"/>
      <c r="V307" s="375"/>
      <c r="W307" s="375"/>
      <c r="X307" s="375"/>
      <c r="Y307" s="375"/>
      <c r="Z307" s="375"/>
      <c r="AA307" s="375"/>
      <c r="AB307" s="375"/>
      <c r="AC307" s="375"/>
      <c r="AD307" s="375"/>
      <c r="AE307" s="375"/>
      <c r="AF307" s="375"/>
      <c r="AG307" s="375"/>
      <c r="AH307" s="375"/>
      <c r="AI307" s="375"/>
      <c r="AJ307" s="375"/>
      <c r="AK307" s="16"/>
    </row>
    <row r="308" spans="1:37">
      <c r="A308" s="375"/>
      <c r="B308" s="375"/>
      <c r="C308" s="375"/>
      <c r="D308" s="375"/>
      <c r="E308" s="375"/>
      <c r="F308" s="375"/>
      <c r="G308" s="375"/>
      <c r="H308" s="375"/>
      <c r="I308" s="375"/>
      <c r="J308" s="375"/>
      <c r="K308" s="375"/>
      <c r="L308" s="375"/>
      <c r="M308" s="375"/>
      <c r="N308" s="375"/>
      <c r="O308" s="375"/>
      <c r="P308" s="375"/>
      <c r="Q308" s="375"/>
      <c r="R308" s="16"/>
      <c r="U308" s="375"/>
      <c r="V308" s="375"/>
      <c r="W308" s="375"/>
      <c r="X308" s="375"/>
      <c r="Y308" s="375"/>
      <c r="Z308" s="375"/>
      <c r="AA308" s="375"/>
      <c r="AB308" s="375"/>
      <c r="AC308" s="375"/>
      <c r="AD308" s="375"/>
      <c r="AE308" s="375"/>
      <c r="AF308" s="375"/>
      <c r="AG308" s="375"/>
      <c r="AH308" s="375"/>
      <c r="AI308" s="375"/>
      <c r="AJ308" s="375"/>
      <c r="AK308" s="16"/>
    </row>
    <row r="309" spans="1:37">
      <c r="A309" s="375"/>
      <c r="B309" s="375"/>
      <c r="C309" s="375"/>
      <c r="D309" s="375"/>
      <c r="E309" s="375"/>
      <c r="F309" s="375"/>
      <c r="G309" s="375"/>
      <c r="H309" s="375"/>
      <c r="I309" s="375"/>
      <c r="J309" s="375"/>
      <c r="K309" s="375"/>
      <c r="L309" s="375"/>
      <c r="M309" s="375"/>
      <c r="N309" s="375"/>
      <c r="O309" s="375"/>
      <c r="P309" s="375"/>
      <c r="Q309" s="375"/>
      <c r="R309" s="16"/>
      <c r="U309" s="375"/>
      <c r="V309" s="375"/>
      <c r="W309" s="375"/>
      <c r="X309" s="375"/>
      <c r="Y309" s="375"/>
      <c r="Z309" s="375"/>
      <c r="AA309" s="375"/>
      <c r="AB309" s="375"/>
      <c r="AC309" s="375"/>
      <c r="AD309" s="375"/>
      <c r="AE309" s="375"/>
      <c r="AF309" s="375"/>
      <c r="AG309" s="375"/>
      <c r="AH309" s="375"/>
      <c r="AI309" s="375"/>
      <c r="AJ309" s="375"/>
      <c r="AK309" s="16"/>
    </row>
    <row r="310" spans="1:37">
      <c r="A310" s="375"/>
      <c r="B310" s="375"/>
      <c r="C310" s="375"/>
      <c r="D310" s="375"/>
      <c r="E310" s="375"/>
      <c r="F310" s="375"/>
      <c r="G310" s="375"/>
      <c r="H310" s="375"/>
      <c r="I310" s="375"/>
      <c r="J310" s="375"/>
      <c r="K310" s="375"/>
      <c r="L310" s="375"/>
      <c r="M310" s="375"/>
      <c r="N310" s="375"/>
      <c r="O310" s="375"/>
      <c r="P310" s="375"/>
      <c r="Q310" s="375"/>
      <c r="R310" s="16"/>
      <c r="U310" s="375"/>
      <c r="V310" s="375"/>
      <c r="W310" s="375"/>
      <c r="X310" s="375"/>
      <c r="Y310" s="375"/>
      <c r="Z310" s="375"/>
      <c r="AA310" s="375"/>
      <c r="AB310" s="375"/>
      <c r="AC310" s="375"/>
      <c r="AD310" s="375"/>
      <c r="AE310" s="375"/>
      <c r="AF310" s="375"/>
      <c r="AG310" s="375"/>
      <c r="AH310" s="375"/>
      <c r="AI310" s="375"/>
      <c r="AJ310" s="375"/>
      <c r="AK310" s="16"/>
    </row>
    <row r="311" spans="1:37">
      <c r="A311" s="375"/>
      <c r="B311" s="375"/>
      <c r="C311" s="375"/>
      <c r="D311" s="375"/>
      <c r="E311" s="375"/>
      <c r="F311" s="375"/>
      <c r="G311" s="375"/>
      <c r="H311" s="375"/>
      <c r="I311" s="375"/>
      <c r="J311" s="375"/>
      <c r="K311" s="375"/>
      <c r="L311" s="375"/>
      <c r="M311" s="375"/>
      <c r="N311" s="375"/>
      <c r="O311" s="375"/>
      <c r="P311" s="375"/>
      <c r="Q311" s="375"/>
      <c r="R311" s="16"/>
      <c r="U311" s="375"/>
      <c r="V311" s="375"/>
      <c r="W311" s="375"/>
      <c r="X311" s="375"/>
      <c r="Y311" s="375"/>
      <c r="Z311" s="375"/>
      <c r="AA311" s="375"/>
      <c r="AB311" s="375"/>
      <c r="AC311" s="375"/>
      <c r="AD311" s="375"/>
      <c r="AE311" s="375"/>
      <c r="AF311" s="375"/>
      <c r="AG311" s="375"/>
      <c r="AH311" s="375"/>
      <c r="AI311" s="375"/>
      <c r="AJ311" s="375"/>
      <c r="AK311" s="16"/>
    </row>
    <row r="312" spans="1:37">
      <c r="A312" s="506"/>
      <c r="B312" s="506"/>
      <c r="C312" s="375"/>
      <c r="D312" s="375"/>
      <c r="E312" s="375"/>
      <c r="F312" s="375"/>
      <c r="G312" s="375"/>
      <c r="H312" s="375"/>
      <c r="I312" s="375"/>
      <c r="J312" s="375"/>
      <c r="K312" s="375"/>
      <c r="L312" s="375"/>
      <c r="M312" s="375"/>
      <c r="N312" s="375"/>
      <c r="O312" s="375"/>
      <c r="P312" s="375"/>
      <c r="Q312" s="375"/>
      <c r="R312" s="16"/>
      <c r="U312" s="506"/>
      <c r="V312" s="375"/>
      <c r="W312" s="375"/>
      <c r="X312" s="375"/>
      <c r="Y312" s="375"/>
      <c r="Z312" s="375"/>
      <c r="AA312" s="375"/>
      <c r="AB312" s="375"/>
      <c r="AC312" s="375"/>
      <c r="AD312" s="375"/>
      <c r="AE312" s="375"/>
      <c r="AF312" s="375"/>
      <c r="AG312" s="375"/>
      <c r="AH312" s="375"/>
      <c r="AI312" s="375"/>
      <c r="AJ312" s="375"/>
      <c r="AK312" s="16"/>
    </row>
    <row r="313" spans="1:37">
      <c r="A313" s="375"/>
      <c r="B313" s="375"/>
      <c r="C313" s="375"/>
      <c r="D313" s="375"/>
      <c r="E313" s="375"/>
      <c r="F313" s="375"/>
      <c r="G313" s="375"/>
      <c r="H313" s="375"/>
      <c r="I313" s="375"/>
      <c r="J313" s="375"/>
      <c r="K313" s="375"/>
      <c r="L313" s="375"/>
      <c r="M313" s="375"/>
      <c r="N313" s="375"/>
      <c r="O313" s="375"/>
      <c r="P313" s="375"/>
      <c r="Q313" s="375"/>
      <c r="R313" s="16"/>
      <c r="U313" s="375"/>
      <c r="V313" s="375"/>
      <c r="W313" s="375"/>
      <c r="X313" s="375"/>
      <c r="Y313" s="375"/>
      <c r="Z313" s="375"/>
      <c r="AA313" s="375"/>
      <c r="AB313" s="375"/>
      <c r="AC313" s="375"/>
      <c r="AD313" s="375"/>
      <c r="AE313" s="375"/>
      <c r="AF313" s="375"/>
      <c r="AG313" s="375"/>
      <c r="AH313" s="375"/>
      <c r="AI313" s="375"/>
      <c r="AJ313" s="375"/>
      <c r="AK313" s="16"/>
    </row>
    <row r="314" spans="1:37">
      <c r="A314" s="375"/>
      <c r="B314" s="375"/>
      <c r="C314" s="375"/>
      <c r="D314" s="375"/>
      <c r="E314" s="375"/>
      <c r="F314" s="375"/>
      <c r="G314" s="375"/>
      <c r="H314" s="375"/>
      <c r="I314" s="375"/>
      <c r="J314" s="375"/>
      <c r="K314" s="375"/>
      <c r="L314" s="375"/>
      <c r="M314" s="375"/>
      <c r="N314" s="375"/>
      <c r="O314" s="375"/>
      <c r="P314" s="375"/>
      <c r="Q314" s="375"/>
      <c r="R314" s="16"/>
      <c r="U314" s="375"/>
      <c r="V314" s="375"/>
      <c r="W314" s="375"/>
      <c r="X314" s="375"/>
      <c r="Y314" s="375"/>
      <c r="Z314" s="375"/>
      <c r="AA314" s="375"/>
      <c r="AB314" s="375"/>
      <c r="AC314" s="375"/>
      <c r="AD314" s="375"/>
      <c r="AE314" s="375"/>
      <c r="AF314" s="375"/>
      <c r="AG314" s="375"/>
      <c r="AH314" s="375"/>
      <c r="AI314" s="375"/>
      <c r="AJ314" s="375"/>
      <c r="AK314" s="16"/>
    </row>
    <row r="315" spans="1:37">
      <c r="A315" s="375"/>
      <c r="B315" s="375"/>
      <c r="C315" s="375"/>
      <c r="D315" s="375"/>
      <c r="E315" s="375"/>
      <c r="F315" s="375"/>
      <c r="G315" s="375"/>
      <c r="H315" s="375"/>
      <c r="I315" s="375"/>
      <c r="J315" s="375"/>
      <c r="K315" s="375"/>
      <c r="L315" s="375"/>
      <c r="M315" s="375"/>
      <c r="N315" s="375"/>
      <c r="O315" s="375"/>
      <c r="P315" s="375"/>
      <c r="Q315" s="375"/>
      <c r="R315" s="16"/>
      <c r="U315" s="375"/>
      <c r="V315" s="375"/>
      <c r="W315" s="375"/>
      <c r="X315" s="375"/>
      <c r="Y315" s="375"/>
      <c r="Z315" s="375"/>
      <c r="AA315" s="375"/>
      <c r="AB315" s="375"/>
      <c r="AC315" s="375"/>
      <c r="AD315" s="375"/>
      <c r="AE315" s="375"/>
      <c r="AF315" s="375"/>
      <c r="AG315" s="375"/>
      <c r="AH315" s="375"/>
      <c r="AI315" s="375"/>
      <c r="AJ315" s="375"/>
      <c r="AK315" s="16"/>
    </row>
    <row r="316" spans="1:37">
      <c r="A316" s="375"/>
      <c r="B316" s="375"/>
      <c r="C316" s="375"/>
      <c r="D316" s="375"/>
      <c r="E316" s="375"/>
      <c r="F316" s="375"/>
      <c r="G316" s="375"/>
      <c r="H316" s="375"/>
      <c r="I316" s="375"/>
      <c r="J316" s="375"/>
      <c r="K316" s="375"/>
      <c r="L316" s="375"/>
      <c r="M316" s="375"/>
      <c r="N316" s="375"/>
      <c r="O316" s="375"/>
      <c r="P316" s="375"/>
      <c r="Q316" s="375"/>
      <c r="R316" s="16"/>
      <c r="U316" s="375"/>
      <c r="V316" s="375"/>
      <c r="W316" s="375"/>
      <c r="X316" s="375"/>
      <c r="Y316" s="375"/>
      <c r="Z316" s="375"/>
      <c r="AA316" s="375"/>
      <c r="AB316" s="375"/>
      <c r="AC316" s="375"/>
      <c r="AD316" s="375"/>
      <c r="AE316" s="375"/>
      <c r="AF316" s="375"/>
      <c r="AG316" s="375"/>
      <c r="AH316" s="375"/>
      <c r="AI316" s="375"/>
      <c r="AJ316" s="375"/>
      <c r="AK316" s="16"/>
    </row>
    <row r="317" spans="1:37">
      <c r="A317" s="16"/>
      <c r="B317" s="16"/>
      <c r="C317" s="16"/>
      <c r="D317" s="16"/>
      <c r="E317" s="16"/>
      <c r="F317" s="16"/>
      <c r="G317" s="16"/>
      <c r="H317" s="16"/>
      <c r="I317" s="16"/>
      <c r="J317" s="16"/>
      <c r="K317" s="16"/>
      <c r="L317" s="16"/>
      <c r="M317" s="16"/>
      <c r="N317" s="16"/>
      <c r="O317" s="16"/>
      <c r="P317" s="16"/>
      <c r="Q317" s="16"/>
      <c r="R317" s="16"/>
      <c r="U317" s="16"/>
      <c r="V317" s="16"/>
      <c r="W317" s="16"/>
      <c r="X317" s="16"/>
      <c r="Y317" s="16"/>
      <c r="Z317" s="16"/>
      <c r="AA317" s="16"/>
      <c r="AB317" s="16"/>
      <c r="AC317" s="16"/>
      <c r="AD317" s="16"/>
      <c r="AE317" s="16"/>
      <c r="AF317" s="16"/>
      <c r="AG317" s="16"/>
      <c r="AH317" s="16"/>
      <c r="AI317" s="16"/>
      <c r="AJ317" s="16"/>
      <c r="AK317" s="16"/>
    </row>
    <row r="318" spans="1:37">
      <c r="A318" s="16"/>
      <c r="B318" s="16"/>
      <c r="C318" s="16"/>
      <c r="D318" s="16"/>
      <c r="E318" s="16"/>
      <c r="F318" s="16"/>
      <c r="G318" s="16"/>
      <c r="H318" s="16"/>
      <c r="I318" s="16"/>
      <c r="J318" s="16"/>
      <c r="K318" s="16"/>
      <c r="L318" s="16"/>
      <c r="M318" s="16"/>
      <c r="N318" s="16"/>
      <c r="O318" s="16"/>
      <c r="P318" s="16"/>
      <c r="Q318" s="16"/>
      <c r="R318" s="16"/>
    </row>
  </sheetData>
  <sheetProtection password="C9E9" sheet="1" formatCells="0" formatColumns="0"/>
  <mergeCells count="10">
    <mergeCell ref="A2:W2"/>
    <mergeCell ref="A34:B34"/>
    <mergeCell ref="A1:R1"/>
    <mergeCell ref="A15:B15"/>
    <mergeCell ref="A16:B16"/>
    <mergeCell ref="A17:B17"/>
    <mergeCell ref="A11:B11"/>
    <mergeCell ref="A5:B5"/>
    <mergeCell ref="A6:B6"/>
    <mergeCell ref="A7:B7"/>
  </mergeCells>
  <phoneticPr fontId="17" type="noConversion"/>
  <conditionalFormatting sqref="A77 A61:C66 S64:AQ64 D61:R63 A75:R76 D65:R73 A67:B74 S66:AQ72 S75:AQ75 S62:AQ62">
    <cfRule type="expression" dxfId="35" priority="2" stopIfTrue="1">
      <formula>$AZ$62</formula>
    </cfRule>
  </conditionalFormatting>
  <conditionalFormatting sqref="C67:C72">
    <cfRule type="expression" dxfId="34" priority="3" stopIfTrue="1">
      <formula>$AZ$62</formula>
    </cfRule>
  </conditionalFormatting>
  <conditionalFormatting sqref="D74 D64:R64">
    <cfRule type="expression" dxfId="33" priority="4" stopIfTrue="1">
      <formula>$AZ$62</formula>
    </cfRule>
  </conditionalFormatting>
  <printOptions horizontalCentered="1"/>
  <pageMargins left="0.5" right="0" top="0.5" bottom="0.3" header="0" footer="0"/>
  <pageSetup paperSize="5" scale="66" firstPageNumber="26" orientation="landscape" r:id="rId1"/>
  <headerFooter scaleWithDoc="0" alignWithMargins="0">
    <oddFooter>&amp;C&amp;9Page &amp;P of &amp;N&amp;R&amp;"Arial,Italic"&amp;9Universal Application - &amp;A</oddFooter>
  </headerFooter>
  <ignoredErrors>
    <ignoredError sqref="D10"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4596" r:id="rId4" name="Option Button 20">
              <controlPr defaultSize="0" autoFill="0" autoLine="0" autoPict="0">
                <anchor moveWithCells="1">
                  <from>
                    <xdr:col>3</xdr:col>
                    <xdr:colOff>285750</xdr:colOff>
                    <xdr:row>1</xdr:row>
                    <xdr:rowOff>152400</xdr:rowOff>
                  </from>
                  <to>
                    <xdr:col>3</xdr:col>
                    <xdr:colOff>590550</xdr:colOff>
                    <xdr:row>3</xdr:row>
                    <xdr:rowOff>28575</xdr:rowOff>
                  </to>
                </anchor>
              </controlPr>
            </control>
          </mc:Choice>
        </mc:AlternateContent>
        <mc:AlternateContent xmlns:mc="http://schemas.openxmlformats.org/markup-compatibility/2006">
          <mc:Choice Requires="x14">
            <control shapeId="24597" r:id="rId5" name="Option Button 21">
              <controlPr defaultSize="0" autoFill="0" autoLine="0" autoPict="0">
                <anchor moveWithCells="1">
                  <from>
                    <xdr:col>6</xdr:col>
                    <xdr:colOff>266700</xdr:colOff>
                    <xdr:row>1</xdr:row>
                    <xdr:rowOff>152400</xdr:rowOff>
                  </from>
                  <to>
                    <xdr:col>6</xdr:col>
                    <xdr:colOff>571500</xdr:colOff>
                    <xdr:row>3</xdr:row>
                    <xdr:rowOff>28575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4" tint="0.59999389629810485"/>
    <pageSetUpPr fitToPage="1"/>
  </sheetPr>
  <dimension ref="A1:AC62"/>
  <sheetViews>
    <sheetView showGridLines="0" zoomScaleNormal="100" workbookViewId="0">
      <selection sqref="A1:H1"/>
    </sheetView>
  </sheetViews>
  <sheetFormatPr defaultColWidth="9.140625" defaultRowHeight="12.75"/>
  <cols>
    <col min="1" max="1" width="9.42578125" customWidth="1"/>
    <col min="2" max="2" width="23.42578125" customWidth="1"/>
    <col min="3" max="3" width="13.28515625" style="620" customWidth="1"/>
    <col min="4" max="4" width="8.28515625" style="620" bestFit="1" customWidth="1"/>
    <col min="5" max="5" width="7.28515625" style="620" bestFit="1" customWidth="1"/>
    <col min="6" max="17" width="10.28515625" style="620" customWidth="1"/>
    <col min="18" max="25" width="10.28515625" style="620" bestFit="1" customWidth="1"/>
    <col min="28" max="28" width="9.140625" customWidth="1"/>
  </cols>
  <sheetData>
    <row r="1" spans="1:29" ht="20.100000000000001" customHeight="1">
      <c r="A1" s="2486" t="str">
        <f>CONCATENATE('General '!A45," NPLH Cash Flow for COSR")</f>
        <v xml:space="preserve"> NPLH Cash Flow for COSR</v>
      </c>
      <c r="B1" s="2486"/>
      <c r="C1" s="2486"/>
      <c r="D1" s="2486"/>
      <c r="E1" s="2486"/>
      <c r="F1" s="2486"/>
      <c r="G1" s="2486"/>
      <c r="H1" s="2487"/>
      <c r="I1" s="2490" t="s">
        <v>1083</v>
      </c>
      <c r="J1" s="2549" t="s">
        <v>1653</v>
      </c>
      <c r="K1" s="2477" t="s">
        <v>1652</v>
      </c>
      <c r="L1" s="2539" t="s">
        <v>1667</v>
      </c>
      <c r="M1" s="2541" t="s">
        <v>1661</v>
      </c>
      <c r="N1" s="2543" t="s">
        <v>1654</v>
      </c>
      <c r="O1" s="2545" t="s">
        <v>1668</v>
      </c>
      <c r="P1" s="2531" t="s">
        <v>1658</v>
      </c>
      <c r="Q1" s="2533" t="s">
        <v>1655</v>
      </c>
      <c r="R1" s="2535" t="s">
        <v>1669</v>
      </c>
      <c r="S1" s="2529" t="s">
        <v>1659</v>
      </c>
      <c r="T1" s="2537" t="s">
        <v>1656</v>
      </c>
      <c r="U1" s="2547" t="s">
        <v>1670</v>
      </c>
      <c r="V1" s="2527" t="s">
        <v>1660</v>
      </c>
      <c r="W1" s="2525" t="s">
        <v>1657</v>
      </c>
      <c r="X1" s="2584" t="s">
        <v>1671</v>
      </c>
    </row>
    <row r="2" spans="1:29" ht="20.100000000000001" customHeight="1">
      <c r="A2" s="2480" t="s">
        <v>1323</v>
      </c>
      <c r="B2" s="2480"/>
      <c r="C2" s="884"/>
      <c r="D2" s="2488" t="s">
        <v>1082</v>
      </c>
      <c r="E2" s="2488"/>
      <c r="F2" s="2488"/>
      <c r="G2" s="2492">
        <f>IF(C5=0,0,180492)</f>
        <v>0</v>
      </c>
      <c r="H2" s="2493"/>
      <c r="I2" s="2491"/>
      <c r="J2" s="2550"/>
      <c r="K2" s="2478"/>
      <c r="L2" s="2540"/>
      <c r="M2" s="2542"/>
      <c r="N2" s="2544"/>
      <c r="O2" s="2546"/>
      <c r="P2" s="2532"/>
      <c r="Q2" s="2534"/>
      <c r="R2" s="2536"/>
      <c r="S2" s="2530"/>
      <c r="T2" s="2538"/>
      <c r="U2" s="2548"/>
      <c r="V2" s="2528"/>
      <c r="W2" s="2526"/>
      <c r="X2" s="2585"/>
    </row>
    <row r="3" spans="1:29" ht="14.45" customHeight="1">
      <c r="A3" s="2480" t="s">
        <v>1324</v>
      </c>
      <c r="B3" s="2480"/>
      <c r="C3" s="885"/>
      <c r="D3" s="2489" t="s">
        <v>1352</v>
      </c>
      <c r="E3" s="2489"/>
      <c r="F3" s="2489"/>
      <c r="G3" s="2481">
        <f>IF(C2="9%",Y7,C5*G2)</f>
        <v>0</v>
      </c>
      <c r="H3" s="2482"/>
      <c r="I3" s="923" t="s">
        <v>1325</v>
      </c>
      <c r="J3" s="909" t="str">
        <f>IF($C$3="","",VLOOKUP($AB$3,'HHC COSR PU Amounts'!$A$1:$F$233,2,FALSE))</f>
        <v/>
      </c>
      <c r="K3" s="938"/>
      <c r="L3" s="910" t="str">
        <f>IF($C$3="","",J3*K3)</f>
        <v/>
      </c>
      <c r="M3" s="909" t="str">
        <f>IF($C$3="","",VLOOKUP($AB$3,'HHC COSR PU Amounts'!$A$1:$F$233,3,FALSE))</f>
        <v/>
      </c>
      <c r="N3" s="938"/>
      <c r="O3" s="911" t="str">
        <f>IF($C$3="","",M3*N3)</f>
        <v/>
      </c>
      <c r="P3" s="909" t="str">
        <f>IF($C$3="","",VLOOKUP($AB$3,'HHC COSR PU Amounts'!$A$1:$F$233,4,FALSE))</f>
        <v/>
      </c>
      <c r="Q3" s="938"/>
      <c r="R3" s="912" t="str">
        <f>IF($C$3="","",P3*Q3)</f>
        <v/>
      </c>
      <c r="S3" s="909" t="str">
        <f>IF($C$3="","",VLOOKUP($AB$3,'HHC COSR PU Amounts'!$A$1:$F$233,5,FALSE))</f>
        <v/>
      </c>
      <c r="T3" s="938"/>
      <c r="U3" s="913" t="str">
        <f>IF($C$3="","",S3*T3)</f>
        <v/>
      </c>
      <c r="V3" s="909" t="str">
        <f>IF($C$3="","",VLOOKUP($AB$3,'HHC COSR PU Amounts'!$A$1:$F$233,6,FALSE))</f>
        <v/>
      </c>
      <c r="W3" s="938"/>
      <c r="X3" s="914" t="str">
        <f>IF($C$3="","",V3*W3)</f>
        <v/>
      </c>
      <c r="Z3" s="620"/>
      <c r="AB3" s="859" t="str">
        <f>CONCATENATE($C$3,I3)</f>
        <v>30%</v>
      </c>
      <c r="AC3" s="859"/>
    </row>
    <row r="4" spans="1:29" ht="14.45" customHeight="1">
      <c r="A4" s="2480" t="s">
        <v>1368</v>
      </c>
      <c r="B4" s="2480"/>
      <c r="C4" s="886"/>
      <c r="D4" s="2517" t="s">
        <v>1353</v>
      </c>
      <c r="E4" s="2517"/>
      <c r="F4" s="2517"/>
      <c r="G4" s="2481">
        <f>-SUMIF(F50:Y50,"&lt;0")+SUM(F51:Y51)</f>
        <v>0</v>
      </c>
      <c r="H4" s="2482"/>
      <c r="I4" s="923" t="s">
        <v>1326</v>
      </c>
      <c r="J4" s="909" t="str">
        <f>IF($C$3="","",VLOOKUP($AB$4,'HHC COSR PU Amounts'!$A$1:$F$233,2,FALSE))</f>
        <v/>
      </c>
      <c r="K4" s="938"/>
      <c r="L4" s="910" t="str">
        <f>IF($C$3="","",J4*K4)</f>
        <v/>
      </c>
      <c r="M4" s="909" t="str">
        <f>IF($C$3="","",VLOOKUP($AB$4,'HHC COSR PU Amounts'!$A$1:$F$233,3,FALSE))</f>
        <v/>
      </c>
      <c r="N4" s="938"/>
      <c r="O4" s="911" t="str">
        <f>IF($C$3="","",M4*N4)</f>
        <v/>
      </c>
      <c r="P4" s="909" t="str">
        <f>IF($C$3="","",VLOOKUP($AB$4,'HHC COSR PU Amounts'!$A$1:$F$233,4,FALSE))</f>
        <v/>
      </c>
      <c r="Q4" s="938"/>
      <c r="R4" s="912" t="str">
        <f>IF($C$3="","",P4*Q4)</f>
        <v/>
      </c>
      <c r="S4" s="909" t="str">
        <f>IF($C$3="","",VLOOKUP($AB$4,'HHC COSR PU Amounts'!$A$1:$F$233,5,FALSE))</f>
        <v/>
      </c>
      <c r="T4" s="938"/>
      <c r="U4" s="913" t="str">
        <f>IF($C$3="","",S4*T4)</f>
        <v/>
      </c>
      <c r="V4" s="909" t="str">
        <f>IF($C$3="","",VLOOKUP($AB$4,'HHC COSR PU Amounts'!$A$1:$F$233,6,FALSE))</f>
        <v/>
      </c>
      <c r="W4" s="938"/>
      <c r="X4" s="914" t="str">
        <f>IF($C$3="","",V4*W4)</f>
        <v/>
      </c>
      <c r="AB4" s="859" t="str">
        <f>CONCATENATE($C$3,I4)</f>
        <v>25%</v>
      </c>
      <c r="AC4" s="859"/>
    </row>
    <row r="5" spans="1:29" ht="14.45" customHeight="1">
      <c r="A5" s="2480" t="s">
        <v>1077</v>
      </c>
      <c r="B5" s="2480"/>
      <c r="C5" s="903">
        <f>'NPLH Rents'!D48</f>
        <v>0</v>
      </c>
      <c r="D5" s="2495" t="s">
        <v>1331</v>
      </c>
      <c r="E5" s="2495"/>
      <c r="F5" s="2495"/>
      <c r="G5" s="2483">
        <f>MIN(G3,G4)</f>
        <v>0</v>
      </c>
      <c r="H5" s="2483"/>
      <c r="I5" s="923" t="s">
        <v>1327</v>
      </c>
      <c r="J5" s="909" t="str">
        <f>IF($C$3="","",VLOOKUP($AB$5,'HHC COSR PU Amounts'!$A$1:$F$233,2,FALSE))</f>
        <v/>
      </c>
      <c r="K5" s="938"/>
      <c r="L5" s="910" t="str">
        <f>IF($C$3="","",J5*K5)</f>
        <v/>
      </c>
      <c r="M5" s="909" t="str">
        <f>IF($C$3="","",VLOOKUP($AB$5,'HHC COSR PU Amounts'!$A$1:$F$233,3,FALSE))</f>
        <v/>
      </c>
      <c r="N5" s="938"/>
      <c r="O5" s="911" t="str">
        <f>IF($C$3="","",M5*N5)</f>
        <v/>
      </c>
      <c r="P5" s="909" t="str">
        <f>IF($C$3="","",VLOOKUP($AB$5,'HHC COSR PU Amounts'!$A$1:$F$233,4,FALSE))</f>
        <v/>
      </c>
      <c r="Q5" s="938"/>
      <c r="R5" s="912" t="str">
        <f>IF($C$3="","",P5*Q5)</f>
        <v/>
      </c>
      <c r="S5" s="909" t="str">
        <f>IF($C$3="","",VLOOKUP($AB$5,'HHC COSR PU Amounts'!$A$1:$F$233,5,FALSE))</f>
        <v/>
      </c>
      <c r="T5" s="938"/>
      <c r="U5" s="913" t="str">
        <f>IF($C$3="","",S5*T5)</f>
        <v/>
      </c>
      <c r="V5" s="909" t="str">
        <f>IF($C$3="","",VLOOKUP($AB$5,'HHC COSR PU Amounts'!$A$1:$F$233,6,FALSE))</f>
        <v/>
      </c>
      <c r="W5" s="938"/>
      <c r="X5" s="914" t="str">
        <f>IF($C$3="","",V5*W5)</f>
        <v/>
      </c>
      <c r="Y5" s="674"/>
      <c r="AB5" s="859" t="str">
        <f>CONCATENATE($C$3,I5)</f>
        <v>20%</v>
      </c>
      <c r="AC5" s="859"/>
    </row>
    <row r="6" spans="1:29" s="38" customFormat="1" ht="14.45" customHeight="1" thickBot="1">
      <c r="A6" s="2480" t="s">
        <v>1369</v>
      </c>
      <c r="B6" s="2480"/>
      <c r="C6" s="903">
        <f>'Rents '!D125</f>
        <v>0</v>
      </c>
      <c r="D6" s="2489" t="s">
        <v>1330</v>
      </c>
      <c r="E6" s="2489"/>
      <c r="F6" s="2489"/>
      <c r="G6" s="2481">
        <f>MIN(G3,G5)*0.05</f>
        <v>0</v>
      </c>
      <c r="H6" s="2482"/>
      <c r="I6" s="924" t="s">
        <v>1328</v>
      </c>
      <c r="J6" s="909" t="str">
        <f>IF($C$3="","",VLOOKUP($AB$6,'HHC COSR PU Amounts'!$A$1:$F$233,2,FALSE))</f>
        <v/>
      </c>
      <c r="K6" s="939"/>
      <c r="L6" s="915" t="str">
        <f>IF($C$3="","",J6*K6)</f>
        <v/>
      </c>
      <c r="M6" s="916" t="str">
        <f>IF($C$3="","",VLOOKUP($AB$6,'HHC COSR PU Amounts'!$A$1:$F$233,3,FALSE))</f>
        <v/>
      </c>
      <c r="N6" s="939"/>
      <c r="O6" s="917" t="str">
        <f>IF($C$3="","",M6*N6)</f>
        <v/>
      </c>
      <c r="P6" s="916" t="str">
        <f>IF($C$3="","",VLOOKUP($AB$6,'HHC COSR PU Amounts'!$A$1:$F$233,4,FALSE))</f>
        <v/>
      </c>
      <c r="Q6" s="939"/>
      <c r="R6" s="918" t="str">
        <f>IF($C$3="","",P6*Q6)</f>
        <v/>
      </c>
      <c r="S6" s="916" t="str">
        <f>IF($C$3="","",VLOOKUP($AB$6,'HHC COSR PU Amounts'!$A$1:$F$233,5,FALSE))</f>
        <v/>
      </c>
      <c r="T6" s="939"/>
      <c r="U6" s="919" t="str">
        <f>IF($C$3="","",S6*T6)</f>
        <v/>
      </c>
      <c r="V6" s="916" t="str">
        <f>IF($C$3="","",VLOOKUP($AB$6,'HHC COSR PU Amounts'!$A$1:$F$233,6,FALSE))</f>
        <v/>
      </c>
      <c r="W6" s="939"/>
      <c r="X6" s="920" t="str">
        <f>IF($C$3="","",V6*W6)</f>
        <v/>
      </c>
      <c r="Y6" s="925" t="s">
        <v>1084</v>
      </c>
      <c r="AB6" s="859" t="str">
        <f>CONCATENATE($C$3,I6)</f>
        <v>15%</v>
      </c>
      <c r="AC6" s="859"/>
    </row>
    <row r="7" spans="1:29" s="38" customFormat="1" ht="14.45" customHeight="1" thickBot="1">
      <c r="A7" s="2480" t="s">
        <v>1370</v>
      </c>
      <c r="B7" s="2480"/>
      <c r="C7" s="887">
        <f>IF(C6&gt;20,ROUNDDOWN(C6*0.49,0),C6)</f>
        <v>0</v>
      </c>
      <c r="D7" s="2521" t="s">
        <v>1329</v>
      </c>
      <c r="E7" s="2521"/>
      <c r="F7" s="2521"/>
      <c r="G7" s="2484">
        <f>MIN(G3,G5)*0.07</f>
        <v>0</v>
      </c>
      <c r="H7" s="2485"/>
      <c r="I7" s="904">
        <f>SUM(K3:K6)+SUM(N3:N6)+SUM(Q3:Q6)+SUM(T3:T6)+SUM(W3:W6)</f>
        <v>0</v>
      </c>
      <c r="J7" s="952" t="s">
        <v>1388</v>
      </c>
      <c r="K7" s="953">
        <f>SUM(K3:K6)</f>
        <v>0</v>
      </c>
      <c r="L7" s="940">
        <f>SUM(L3:L6)</f>
        <v>0</v>
      </c>
      <c r="M7" s="948" t="s">
        <v>1389</v>
      </c>
      <c r="N7" s="949">
        <f>SUM(N3:N6)</f>
        <v>0</v>
      </c>
      <c r="O7" s="921">
        <f>SUM(O3:O6)</f>
        <v>0</v>
      </c>
      <c r="P7" s="950" t="s">
        <v>1390</v>
      </c>
      <c r="Q7" s="951">
        <f>SUM(Q3:Q6)</f>
        <v>0</v>
      </c>
      <c r="R7" s="943">
        <f>SUM(R3:R6)</f>
        <v>0</v>
      </c>
      <c r="S7" s="946" t="s">
        <v>1391</v>
      </c>
      <c r="T7" s="947">
        <f>SUM(T3:T6)</f>
        <v>0</v>
      </c>
      <c r="U7" s="942">
        <f>SUM(U3:U6)</f>
        <v>0</v>
      </c>
      <c r="V7" s="944" t="s">
        <v>1392</v>
      </c>
      <c r="W7" s="945">
        <f>SUM(W3:W6)</f>
        <v>0</v>
      </c>
      <c r="X7" s="941">
        <f>SUM(X3:X6)</f>
        <v>0</v>
      </c>
      <c r="Y7" s="922">
        <f>L7+O7+R7+U7+X7</f>
        <v>0</v>
      </c>
    </row>
    <row r="8" spans="1:29" s="38" customFormat="1" ht="13.5" customHeight="1">
      <c r="A8" s="657" t="s">
        <v>202</v>
      </c>
      <c r="B8" s="651"/>
      <c r="C8" s="652" t="s">
        <v>1367</v>
      </c>
      <c r="D8" s="652" t="s">
        <v>998</v>
      </c>
      <c r="E8" s="652" t="s">
        <v>206</v>
      </c>
      <c r="F8" s="658" t="s">
        <v>962</v>
      </c>
      <c r="G8" s="659" t="s">
        <v>963</v>
      </c>
      <c r="H8" s="659" t="s">
        <v>964</v>
      </c>
      <c r="I8" s="659" t="s">
        <v>965</v>
      </c>
      <c r="J8" s="659" t="s">
        <v>966</v>
      </c>
      <c r="K8" s="659" t="s">
        <v>967</v>
      </c>
      <c r="L8" s="659" t="s">
        <v>968</v>
      </c>
      <c r="M8" s="858" t="s">
        <v>969</v>
      </c>
      <c r="N8" s="858" t="s">
        <v>970</v>
      </c>
      <c r="O8" s="659" t="s">
        <v>971</v>
      </c>
      <c r="P8" s="659" t="s">
        <v>972</v>
      </c>
      <c r="Q8" s="659" t="s">
        <v>973</v>
      </c>
      <c r="R8" s="659" t="s">
        <v>974</v>
      </c>
      <c r="S8" s="659" t="s">
        <v>975</v>
      </c>
      <c r="T8" s="659" t="s">
        <v>976</v>
      </c>
      <c r="U8" s="659" t="s">
        <v>977</v>
      </c>
      <c r="V8" s="659" t="s">
        <v>978</v>
      </c>
      <c r="W8" s="659" t="s">
        <v>979</v>
      </c>
      <c r="X8" s="659" t="s">
        <v>980</v>
      </c>
      <c r="Y8" s="858" t="s">
        <v>981</v>
      </c>
    </row>
    <row r="9" spans="1:29" s="38" customFormat="1" ht="13.5" customHeight="1">
      <c r="A9" s="849" t="s">
        <v>1071</v>
      </c>
      <c r="B9" s="849"/>
      <c r="C9" s="834"/>
      <c r="D9" s="926">
        <f>IF($C$6=0,0,$C$5/($C$6-$C$4))</f>
        <v>0</v>
      </c>
      <c r="E9" s="850">
        <v>2.5000000000000001E-2</v>
      </c>
      <c r="F9" s="844">
        <f>IF('Cash Flow'!D3=1,'NPLH Rents'!J48*12,'NPLH Rents'!I48*12)</f>
        <v>0</v>
      </c>
      <c r="G9" s="660">
        <f t="shared" ref="G9:Y11" si="0">F9*(1+$E9)</f>
        <v>0</v>
      </c>
      <c r="H9" s="660">
        <f t="shared" si="0"/>
        <v>0</v>
      </c>
      <c r="I9" s="660">
        <f t="shared" si="0"/>
        <v>0</v>
      </c>
      <c r="J9" s="660">
        <f t="shared" si="0"/>
        <v>0</v>
      </c>
      <c r="K9" s="660">
        <f t="shared" si="0"/>
        <v>0</v>
      </c>
      <c r="L9" s="660">
        <f t="shared" si="0"/>
        <v>0</v>
      </c>
      <c r="M9" s="660">
        <f t="shared" si="0"/>
        <v>0</v>
      </c>
      <c r="N9" s="660">
        <f t="shared" si="0"/>
        <v>0</v>
      </c>
      <c r="O9" s="660">
        <f t="shared" si="0"/>
        <v>0</v>
      </c>
      <c r="P9" s="660">
        <f t="shared" si="0"/>
        <v>0</v>
      </c>
      <c r="Q9" s="660">
        <f t="shared" si="0"/>
        <v>0</v>
      </c>
      <c r="R9" s="660">
        <f t="shared" si="0"/>
        <v>0</v>
      </c>
      <c r="S9" s="660">
        <f t="shared" si="0"/>
        <v>0</v>
      </c>
      <c r="T9" s="660">
        <f t="shared" si="0"/>
        <v>0</v>
      </c>
      <c r="U9" s="660">
        <f t="shared" si="0"/>
        <v>0</v>
      </c>
      <c r="V9" s="660">
        <f t="shared" si="0"/>
        <v>0</v>
      </c>
      <c r="W9" s="660">
        <f t="shared" si="0"/>
        <v>0</v>
      </c>
      <c r="X9" s="660">
        <f t="shared" si="0"/>
        <v>0</v>
      </c>
      <c r="Y9" s="660">
        <f t="shared" si="0"/>
        <v>0</v>
      </c>
    </row>
    <row r="10" spans="1:29" s="38" customFormat="1" ht="13.5" customHeight="1">
      <c r="A10" s="2494" t="s">
        <v>837</v>
      </c>
      <c r="B10" s="2494"/>
      <c r="C10" s="834"/>
      <c r="D10" s="845"/>
      <c r="E10" s="850"/>
      <c r="F10" s="660"/>
      <c r="G10" s="660"/>
      <c r="H10" s="660"/>
      <c r="I10" s="660"/>
      <c r="J10" s="660"/>
      <c r="K10" s="660"/>
      <c r="L10" s="660"/>
      <c r="M10" s="660"/>
      <c r="N10" s="660"/>
      <c r="O10" s="660"/>
      <c r="P10" s="660"/>
      <c r="Q10" s="660"/>
      <c r="R10" s="660"/>
      <c r="S10" s="660"/>
      <c r="T10" s="660"/>
      <c r="U10" s="660"/>
      <c r="V10" s="660"/>
      <c r="W10" s="660"/>
      <c r="X10" s="660"/>
      <c r="Y10" s="660"/>
    </row>
    <row r="11" spans="1:29" s="67" customFormat="1" ht="13.5" customHeight="1">
      <c r="A11" s="700" t="s">
        <v>205</v>
      </c>
      <c r="B11" s="700" t="str">
        <f>IF(ISTEXT(Subsidies!F13),Subsidies!F13," ")</f>
        <v xml:space="preserve"> </v>
      </c>
      <c r="C11" s="660">
        <f>'Operating '!D36</f>
        <v>0</v>
      </c>
      <c r="D11" s="835">
        <f>$D$9</f>
        <v>0</v>
      </c>
      <c r="E11" s="850">
        <v>2.5000000000000001E-2</v>
      </c>
      <c r="F11" s="661">
        <f>IF(C11=0,0,C11*D11)</f>
        <v>0</v>
      </c>
      <c r="G11" s="661">
        <f>F11*(1+$E11)</f>
        <v>0</v>
      </c>
      <c r="H11" s="661">
        <f t="shared" si="0"/>
        <v>0</v>
      </c>
      <c r="I11" s="661">
        <f t="shared" si="0"/>
        <v>0</v>
      </c>
      <c r="J11" s="661">
        <f t="shared" si="0"/>
        <v>0</v>
      </c>
      <c r="K11" s="661">
        <f t="shared" si="0"/>
        <v>0</v>
      </c>
      <c r="L11" s="661">
        <f t="shared" si="0"/>
        <v>0</v>
      </c>
      <c r="M11" s="661">
        <f t="shared" si="0"/>
        <v>0</v>
      </c>
      <c r="N11" s="661">
        <f t="shared" si="0"/>
        <v>0</v>
      </c>
      <c r="O11" s="661">
        <f t="shared" si="0"/>
        <v>0</v>
      </c>
      <c r="P11" s="661">
        <f t="shared" si="0"/>
        <v>0</v>
      </c>
      <c r="Q11" s="661">
        <f t="shared" si="0"/>
        <v>0</v>
      </c>
      <c r="R11" s="661">
        <f t="shared" si="0"/>
        <v>0</v>
      </c>
      <c r="S11" s="661">
        <f t="shared" si="0"/>
        <v>0</v>
      </c>
      <c r="T11" s="661">
        <f t="shared" si="0"/>
        <v>0</v>
      </c>
      <c r="U11" s="661">
        <f t="shared" si="0"/>
        <v>0</v>
      </c>
      <c r="V11" s="661">
        <f t="shared" si="0"/>
        <v>0</v>
      </c>
      <c r="W11" s="661">
        <f t="shared" si="0"/>
        <v>0</v>
      </c>
      <c r="X11" s="661">
        <f t="shared" si="0"/>
        <v>0</v>
      </c>
      <c r="Y11" s="661">
        <f t="shared" si="0"/>
        <v>0</v>
      </c>
    </row>
    <row r="12" spans="1:29" s="67" customFormat="1" ht="13.5" customHeight="1">
      <c r="A12" s="705" t="s">
        <v>205</v>
      </c>
      <c r="B12" s="705" t="str">
        <f>IF(ISTEXT(Subsidies!K13),Subsidies!K13," ")</f>
        <v xml:space="preserve"> </v>
      </c>
      <c r="C12" s="660">
        <f>'Operating '!D37</f>
        <v>0</v>
      </c>
      <c r="D12" s="835">
        <f>$D$9</f>
        <v>0</v>
      </c>
      <c r="E12" s="850">
        <v>2.5000000000000001E-2</v>
      </c>
      <c r="F12" s="661">
        <f>IF(C12=0,0,C12*D12)</f>
        <v>0</v>
      </c>
      <c r="G12" s="661">
        <f>F12*(1+$E12)</f>
        <v>0</v>
      </c>
      <c r="H12" s="661">
        <f t="shared" ref="H12:Y12" si="1">G12*(1+$E12)</f>
        <v>0</v>
      </c>
      <c r="I12" s="661">
        <f t="shared" si="1"/>
        <v>0</v>
      </c>
      <c r="J12" s="661">
        <f t="shared" si="1"/>
        <v>0</v>
      </c>
      <c r="K12" s="661">
        <f t="shared" si="1"/>
        <v>0</v>
      </c>
      <c r="L12" s="661">
        <f t="shared" si="1"/>
        <v>0</v>
      </c>
      <c r="M12" s="661">
        <f t="shared" si="1"/>
        <v>0</v>
      </c>
      <c r="N12" s="661">
        <f t="shared" si="1"/>
        <v>0</v>
      </c>
      <c r="O12" s="661">
        <f t="shared" si="1"/>
        <v>0</v>
      </c>
      <c r="P12" s="661">
        <f t="shared" si="1"/>
        <v>0</v>
      </c>
      <c r="Q12" s="661">
        <f t="shared" si="1"/>
        <v>0</v>
      </c>
      <c r="R12" s="661">
        <f t="shared" si="1"/>
        <v>0</v>
      </c>
      <c r="S12" s="661">
        <f t="shared" si="1"/>
        <v>0</v>
      </c>
      <c r="T12" s="661">
        <f t="shared" si="1"/>
        <v>0</v>
      </c>
      <c r="U12" s="661">
        <f t="shared" si="1"/>
        <v>0</v>
      </c>
      <c r="V12" s="661">
        <f t="shared" si="1"/>
        <v>0</v>
      </c>
      <c r="W12" s="661">
        <f t="shared" si="1"/>
        <v>0</v>
      </c>
      <c r="X12" s="661">
        <f t="shared" si="1"/>
        <v>0</v>
      </c>
      <c r="Y12" s="661">
        <f t="shared" si="1"/>
        <v>0</v>
      </c>
    </row>
    <row r="13" spans="1:29" s="67" customFormat="1" ht="13.5" customHeight="1">
      <c r="A13" s="2479" t="str">
        <f>'Operating '!C38</f>
        <v>Operating Subsidies</v>
      </c>
      <c r="B13" s="2479"/>
      <c r="C13" s="660">
        <f>'Operating '!D38</f>
        <v>0</v>
      </c>
      <c r="D13" s="835">
        <f>$D$9</f>
        <v>0</v>
      </c>
      <c r="E13" s="850">
        <v>2.5000000000000001E-2</v>
      </c>
      <c r="F13" s="661">
        <f>IF(C13=0,0,C13*D13)</f>
        <v>0</v>
      </c>
      <c r="G13" s="661">
        <f>F13*(1+$E13)</f>
        <v>0</v>
      </c>
      <c r="H13" s="661">
        <f t="shared" ref="H13:Y13" si="2">G13*(1+$E13)</f>
        <v>0</v>
      </c>
      <c r="I13" s="661">
        <f t="shared" si="2"/>
        <v>0</v>
      </c>
      <c r="J13" s="661">
        <f t="shared" si="2"/>
        <v>0</v>
      </c>
      <c r="K13" s="661">
        <f t="shared" si="2"/>
        <v>0</v>
      </c>
      <c r="L13" s="661">
        <f t="shared" si="2"/>
        <v>0</v>
      </c>
      <c r="M13" s="661">
        <f t="shared" si="2"/>
        <v>0</v>
      </c>
      <c r="N13" s="661">
        <f t="shared" si="2"/>
        <v>0</v>
      </c>
      <c r="O13" s="661">
        <f t="shared" si="2"/>
        <v>0</v>
      </c>
      <c r="P13" s="661">
        <f t="shared" si="2"/>
        <v>0</v>
      </c>
      <c r="Q13" s="661">
        <f t="shared" si="2"/>
        <v>0</v>
      </c>
      <c r="R13" s="661">
        <f t="shared" si="2"/>
        <v>0</v>
      </c>
      <c r="S13" s="661">
        <f t="shared" si="2"/>
        <v>0</v>
      </c>
      <c r="T13" s="661">
        <f t="shared" si="2"/>
        <v>0</v>
      </c>
      <c r="U13" s="661">
        <f t="shared" si="2"/>
        <v>0</v>
      </c>
      <c r="V13" s="661">
        <f t="shared" si="2"/>
        <v>0</v>
      </c>
      <c r="W13" s="661">
        <f t="shared" si="2"/>
        <v>0</v>
      </c>
      <c r="X13" s="661">
        <f t="shared" si="2"/>
        <v>0</v>
      </c>
      <c r="Y13" s="661">
        <f t="shared" si="2"/>
        <v>0</v>
      </c>
    </row>
    <row r="14" spans="1:29" s="67" customFormat="1" ht="13.5" customHeight="1">
      <c r="A14" s="2479" t="str">
        <f>'Operating '!C39</f>
        <v>Other: (specify)</v>
      </c>
      <c r="B14" s="2479"/>
      <c r="C14" s="660">
        <f>'Operating '!D39</f>
        <v>0</v>
      </c>
      <c r="D14" s="835">
        <f>$D$9</f>
        <v>0</v>
      </c>
      <c r="E14" s="850">
        <v>2.5000000000000001E-2</v>
      </c>
      <c r="F14" s="661">
        <f>IF(C14=0,0,C14*D14)</f>
        <v>0</v>
      </c>
      <c r="G14" s="661">
        <f>F14*(1+$E14)</f>
        <v>0</v>
      </c>
      <c r="H14" s="661">
        <f t="shared" ref="H14:Y14" si="3">G14*(1+$E14)</f>
        <v>0</v>
      </c>
      <c r="I14" s="661">
        <f t="shared" si="3"/>
        <v>0</v>
      </c>
      <c r="J14" s="661">
        <f t="shared" si="3"/>
        <v>0</v>
      </c>
      <c r="K14" s="661">
        <f t="shared" si="3"/>
        <v>0</v>
      </c>
      <c r="L14" s="661">
        <f t="shared" si="3"/>
        <v>0</v>
      </c>
      <c r="M14" s="661">
        <f t="shared" si="3"/>
        <v>0</v>
      </c>
      <c r="N14" s="661">
        <f t="shared" si="3"/>
        <v>0</v>
      </c>
      <c r="O14" s="661">
        <f t="shared" si="3"/>
        <v>0</v>
      </c>
      <c r="P14" s="661">
        <f t="shared" si="3"/>
        <v>0</v>
      </c>
      <c r="Q14" s="661">
        <f t="shared" si="3"/>
        <v>0</v>
      </c>
      <c r="R14" s="661">
        <f t="shared" si="3"/>
        <v>0</v>
      </c>
      <c r="S14" s="661">
        <f t="shared" si="3"/>
        <v>0</v>
      </c>
      <c r="T14" s="661">
        <f t="shared" si="3"/>
        <v>0</v>
      </c>
      <c r="U14" s="661">
        <f t="shared" si="3"/>
        <v>0</v>
      </c>
      <c r="V14" s="661">
        <f t="shared" si="3"/>
        <v>0</v>
      </c>
      <c r="W14" s="661">
        <f t="shared" si="3"/>
        <v>0</v>
      </c>
      <c r="X14" s="661">
        <f t="shared" si="3"/>
        <v>0</v>
      </c>
      <c r="Y14" s="661">
        <f t="shared" si="3"/>
        <v>0</v>
      </c>
    </row>
    <row r="15" spans="1:29" s="38" customFormat="1" ht="13.5" customHeight="1">
      <c r="A15" s="2518" t="s">
        <v>845</v>
      </c>
      <c r="B15" s="2518"/>
      <c r="C15" s="2518"/>
      <c r="D15" s="2518"/>
      <c r="E15" s="2519"/>
      <c r="F15" s="668">
        <f t="shared" ref="F15:Y15" si="4">SUM(F9:F14)</f>
        <v>0</v>
      </c>
      <c r="G15" s="668">
        <f t="shared" si="4"/>
        <v>0</v>
      </c>
      <c r="H15" s="668">
        <f t="shared" si="4"/>
        <v>0</v>
      </c>
      <c r="I15" s="668">
        <f t="shared" si="4"/>
        <v>0</v>
      </c>
      <c r="J15" s="668">
        <f t="shared" si="4"/>
        <v>0</v>
      </c>
      <c r="K15" s="668">
        <f t="shared" si="4"/>
        <v>0</v>
      </c>
      <c r="L15" s="668">
        <f t="shared" si="4"/>
        <v>0</v>
      </c>
      <c r="M15" s="668">
        <f t="shared" si="4"/>
        <v>0</v>
      </c>
      <c r="N15" s="668">
        <f t="shared" si="4"/>
        <v>0</v>
      </c>
      <c r="O15" s="668">
        <f t="shared" si="4"/>
        <v>0</v>
      </c>
      <c r="P15" s="668">
        <f t="shared" si="4"/>
        <v>0</v>
      </c>
      <c r="Q15" s="668">
        <f t="shared" si="4"/>
        <v>0</v>
      </c>
      <c r="R15" s="668">
        <f t="shared" si="4"/>
        <v>0</v>
      </c>
      <c r="S15" s="668">
        <f t="shared" si="4"/>
        <v>0</v>
      </c>
      <c r="T15" s="668">
        <f t="shared" si="4"/>
        <v>0</v>
      </c>
      <c r="U15" s="668">
        <f t="shared" si="4"/>
        <v>0</v>
      </c>
      <c r="V15" s="668">
        <f t="shared" si="4"/>
        <v>0</v>
      </c>
      <c r="W15" s="668">
        <f t="shared" si="4"/>
        <v>0</v>
      </c>
      <c r="X15" s="668">
        <f t="shared" si="4"/>
        <v>0</v>
      </c>
      <c r="Y15" s="668">
        <f t="shared" si="4"/>
        <v>0</v>
      </c>
    </row>
    <row r="16" spans="1:29" s="38" customFormat="1" ht="13.5" customHeight="1">
      <c r="A16" s="851"/>
      <c r="B16" s="851"/>
      <c r="C16" s="653"/>
      <c r="D16" s="653"/>
      <c r="E16" s="852"/>
      <c r="F16" s="660"/>
      <c r="G16" s="660"/>
      <c r="H16" s="660"/>
      <c r="I16" s="660"/>
      <c r="J16" s="660"/>
      <c r="K16" s="660"/>
      <c r="L16" s="660"/>
      <c r="M16" s="660"/>
      <c r="N16" s="660"/>
      <c r="O16" s="660"/>
      <c r="P16" s="660"/>
      <c r="Q16" s="660"/>
      <c r="R16" s="660"/>
      <c r="S16" s="660"/>
      <c r="T16" s="660"/>
      <c r="U16" s="663"/>
      <c r="V16" s="663"/>
      <c r="W16" s="663"/>
      <c r="X16" s="663"/>
      <c r="Y16" s="663"/>
    </row>
    <row r="17" spans="1:25" s="38" customFormat="1" ht="13.5" customHeight="1">
      <c r="A17" s="657" t="s">
        <v>25</v>
      </c>
      <c r="B17" s="650"/>
      <c r="C17" s="652" t="s">
        <v>1367</v>
      </c>
      <c r="D17" s="652" t="s">
        <v>998</v>
      </c>
      <c r="E17" s="652" t="s">
        <v>206</v>
      </c>
      <c r="F17" s="664"/>
      <c r="G17" s="665"/>
      <c r="H17" s="665"/>
      <c r="I17" s="665"/>
      <c r="J17" s="665"/>
      <c r="K17" s="665"/>
      <c r="L17" s="665"/>
      <c r="M17" s="665"/>
      <c r="N17" s="665"/>
      <c r="O17" s="665"/>
      <c r="P17" s="665"/>
      <c r="Q17" s="665"/>
      <c r="R17" s="665"/>
      <c r="S17" s="665"/>
      <c r="T17" s="665"/>
      <c r="U17" s="666"/>
      <c r="V17" s="666"/>
      <c r="W17" s="666"/>
      <c r="X17" s="666"/>
      <c r="Y17" s="666"/>
    </row>
    <row r="18" spans="1:25" s="836" customFormat="1" ht="13.5" customHeight="1">
      <c r="A18" s="2520" t="s">
        <v>848</v>
      </c>
      <c r="B18" s="2520"/>
      <c r="C18" s="660">
        <f>'Operating '!D40</f>
        <v>0</v>
      </c>
      <c r="D18" s="837">
        <f>$D$9</f>
        <v>0</v>
      </c>
      <c r="E18" s="840">
        <v>2.5000000000000001E-2</v>
      </c>
      <c r="F18" s="660">
        <f>IF(C18=0,0,C18*D18)</f>
        <v>0</v>
      </c>
      <c r="G18" s="660">
        <f t="shared" ref="G18:V19" si="5">F18*(1+$E18)</f>
        <v>0</v>
      </c>
      <c r="H18" s="660">
        <f t="shared" si="5"/>
        <v>0</v>
      </c>
      <c r="I18" s="660">
        <f t="shared" si="5"/>
        <v>0</v>
      </c>
      <c r="J18" s="660">
        <f t="shared" si="5"/>
        <v>0</v>
      </c>
      <c r="K18" s="660">
        <f t="shared" si="5"/>
        <v>0</v>
      </c>
      <c r="L18" s="660">
        <f t="shared" si="5"/>
        <v>0</v>
      </c>
      <c r="M18" s="660">
        <f t="shared" si="5"/>
        <v>0</v>
      </c>
      <c r="N18" s="660">
        <f t="shared" si="5"/>
        <v>0</v>
      </c>
      <c r="O18" s="660">
        <f t="shared" si="5"/>
        <v>0</v>
      </c>
      <c r="P18" s="660">
        <f t="shared" si="5"/>
        <v>0</v>
      </c>
      <c r="Q18" s="660">
        <f t="shared" si="5"/>
        <v>0</v>
      </c>
      <c r="R18" s="660">
        <f t="shared" si="5"/>
        <v>0</v>
      </c>
      <c r="S18" s="660">
        <f t="shared" si="5"/>
        <v>0</v>
      </c>
      <c r="T18" s="660">
        <f t="shared" si="5"/>
        <v>0</v>
      </c>
      <c r="U18" s="660">
        <f t="shared" si="5"/>
        <v>0</v>
      </c>
      <c r="V18" s="660">
        <f t="shared" si="5"/>
        <v>0</v>
      </c>
      <c r="W18" s="660">
        <f t="shared" ref="W18:Y19" si="6">V18*(1+$E18)</f>
        <v>0</v>
      </c>
      <c r="X18" s="660">
        <f t="shared" si="6"/>
        <v>0</v>
      </c>
      <c r="Y18" s="660">
        <f t="shared" si="6"/>
        <v>0</v>
      </c>
    </row>
    <row r="19" spans="1:25" s="836" customFormat="1" ht="13.5" customHeight="1">
      <c r="A19" s="2522" t="s">
        <v>26</v>
      </c>
      <c r="B19" s="2522"/>
      <c r="C19" s="660">
        <f>'Operating '!D41+'Operating '!D42</f>
        <v>0</v>
      </c>
      <c r="D19" s="837">
        <f>$D$9</f>
        <v>0</v>
      </c>
      <c r="E19" s="840">
        <v>2.5000000000000001E-2</v>
      </c>
      <c r="F19" s="848">
        <f>IF(C19=0,0,C19*D19)</f>
        <v>0</v>
      </c>
      <c r="G19" s="839">
        <f t="shared" si="5"/>
        <v>0</v>
      </c>
      <c r="H19" s="839">
        <f t="shared" si="5"/>
        <v>0</v>
      </c>
      <c r="I19" s="839">
        <f t="shared" si="5"/>
        <v>0</v>
      </c>
      <c r="J19" s="839">
        <f t="shared" si="5"/>
        <v>0</v>
      </c>
      <c r="K19" s="839">
        <f t="shared" si="5"/>
        <v>0</v>
      </c>
      <c r="L19" s="839">
        <f t="shared" si="5"/>
        <v>0</v>
      </c>
      <c r="M19" s="839">
        <f t="shared" si="5"/>
        <v>0</v>
      </c>
      <c r="N19" s="839">
        <f t="shared" si="5"/>
        <v>0</v>
      </c>
      <c r="O19" s="839">
        <f t="shared" si="5"/>
        <v>0</v>
      </c>
      <c r="P19" s="839">
        <f t="shared" si="5"/>
        <v>0</v>
      </c>
      <c r="Q19" s="839">
        <f t="shared" si="5"/>
        <v>0</v>
      </c>
      <c r="R19" s="839">
        <f t="shared" si="5"/>
        <v>0</v>
      </c>
      <c r="S19" s="839">
        <f t="shared" si="5"/>
        <v>0</v>
      </c>
      <c r="T19" s="839">
        <f t="shared" si="5"/>
        <v>0</v>
      </c>
      <c r="U19" s="839">
        <f t="shared" si="5"/>
        <v>0</v>
      </c>
      <c r="V19" s="839">
        <f t="shared" si="5"/>
        <v>0</v>
      </c>
      <c r="W19" s="839">
        <f t="shared" si="6"/>
        <v>0</v>
      </c>
      <c r="X19" s="839">
        <f t="shared" si="6"/>
        <v>0</v>
      </c>
      <c r="Y19" s="839">
        <f t="shared" si="6"/>
        <v>0</v>
      </c>
    </row>
    <row r="20" spans="1:25" s="836" customFormat="1" ht="13.5" customHeight="1">
      <c r="A20" s="2523" t="s">
        <v>846</v>
      </c>
      <c r="B20" s="2523"/>
      <c r="C20" s="2523"/>
      <c r="D20" s="2523"/>
      <c r="E20" s="2524"/>
      <c r="F20" s="668">
        <f t="shared" ref="F20:Y20" si="7">SUM(F18:F19)</f>
        <v>0</v>
      </c>
      <c r="G20" s="668">
        <f t="shared" si="7"/>
        <v>0</v>
      </c>
      <c r="H20" s="668">
        <f t="shared" si="7"/>
        <v>0</v>
      </c>
      <c r="I20" s="668">
        <f t="shared" si="7"/>
        <v>0</v>
      </c>
      <c r="J20" s="668">
        <f t="shared" si="7"/>
        <v>0</v>
      </c>
      <c r="K20" s="668">
        <f t="shared" si="7"/>
        <v>0</v>
      </c>
      <c r="L20" s="668">
        <f t="shared" si="7"/>
        <v>0</v>
      </c>
      <c r="M20" s="668">
        <f t="shared" si="7"/>
        <v>0</v>
      </c>
      <c r="N20" s="668">
        <f t="shared" si="7"/>
        <v>0</v>
      </c>
      <c r="O20" s="668">
        <f t="shared" si="7"/>
        <v>0</v>
      </c>
      <c r="P20" s="668">
        <f t="shared" si="7"/>
        <v>0</v>
      </c>
      <c r="Q20" s="668">
        <f t="shared" si="7"/>
        <v>0</v>
      </c>
      <c r="R20" s="668">
        <f t="shared" si="7"/>
        <v>0</v>
      </c>
      <c r="S20" s="668">
        <f t="shared" si="7"/>
        <v>0</v>
      </c>
      <c r="T20" s="668">
        <f t="shared" si="7"/>
        <v>0</v>
      </c>
      <c r="U20" s="668">
        <f t="shared" si="7"/>
        <v>0</v>
      </c>
      <c r="V20" s="668">
        <f t="shared" si="7"/>
        <v>0</v>
      </c>
      <c r="W20" s="668">
        <f t="shared" si="7"/>
        <v>0</v>
      </c>
      <c r="X20" s="668">
        <f t="shared" si="7"/>
        <v>0</v>
      </c>
      <c r="Y20" s="668">
        <f t="shared" si="7"/>
        <v>0</v>
      </c>
    </row>
    <row r="21" spans="1:25" s="836" customFormat="1" ht="13.5" customHeight="1">
      <c r="A21" s="2500" t="s">
        <v>847</v>
      </c>
      <c r="B21" s="2500"/>
      <c r="C21" s="2500"/>
      <c r="D21" s="2500"/>
      <c r="E21" s="2501"/>
      <c r="F21" s="667">
        <f t="shared" ref="F21:Y21" si="8">F15+F20</f>
        <v>0</v>
      </c>
      <c r="G21" s="668">
        <f t="shared" si="8"/>
        <v>0</v>
      </c>
      <c r="H21" s="668">
        <f t="shared" si="8"/>
        <v>0</v>
      </c>
      <c r="I21" s="668">
        <f t="shared" si="8"/>
        <v>0</v>
      </c>
      <c r="J21" s="668">
        <f t="shared" si="8"/>
        <v>0</v>
      </c>
      <c r="K21" s="668">
        <f t="shared" si="8"/>
        <v>0</v>
      </c>
      <c r="L21" s="668">
        <f t="shared" si="8"/>
        <v>0</v>
      </c>
      <c r="M21" s="668">
        <f t="shared" si="8"/>
        <v>0</v>
      </c>
      <c r="N21" s="668">
        <f t="shared" si="8"/>
        <v>0</v>
      </c>
      <c r="O21" s="668">
        <f t="shared" si="8"/>
        <v>0</v>
      </c>
      <c r="P21" s="668">
        <f t="shared" si="8"/>
        <v>0</v>
      </c>
      <c r="Q21" s="668">
        <f t="shared" si="8"/>
        <v>0</v>
      </c>
      <c r="R21" s="668">
        <f t="shared" si="8"/>
        <v>0</v>
      </c>
      <c r="S21" s="668">
        <f t="shared" si="8"/>
        <v>0</v>
      </c>
      <c r="T21" s="668">
        <f t="shared" si="8"/>
        <v>0</v>
      </c>
      <c r="U21" s="668">
        <f t="shared" si="8"/>
        <v>0</v>
      </c>
      <c r="V21" s="668">
        <f t="shared" si="8"/>
        <v>0</v>
      </c>
      <c r="W21" s="668">
        <f t="shared" si="8"/>
        <v>0</v>
      </c>
      <c r="X21" s="668">
        <f t="shared" si="8"/>
        <v>0</v>
      </c>
      <c r="Y21" s="668">
        <f t="shared" si="8"/>
        <v>0</v>
      </c>
    </row>
    <row r="22" spans="1:25" s="38" customFormat="1" ht="13.5" customHeight="1">
      <c r="A22" s="654" t="s">
        <v>434</v>
      </c>
      <c r="B22" s="654"/>
      <c r="C22" s="653"/>
      <c r="D22" s="653"/>
      <c r="E22" s="653"/>
      <c r="F22" s="662"/>
      <c r="G22" s="660"/>
      <c r="H22" s="660"/>
      <c r="I22" s="660"/>
      <c r="J22" s="660"/>
      <c r="K22" s="660"/>
      <c r="L22" s="660"/>
      <c r="M22" s="660"/>
      <c r="N22" s="660"/>
      <c r="O22" s="660"/>
      <c r="P22" s="660"/>
      <c r="Q22" s="660"/>
      <c r="R22" s="660"/>
      <c r="S22" s="660"/>
      <c r="T22" s="660"/>
      <c r="U22" s="660"/>
      <c r="V22" s="660"/>
      <c r="W22" s="660"/>
      <c r="X22" s="660"/>
      <c r="Y22" s="660"/>
    </row>
    <row r="23" spans="1:25" s="38" customFormat="1" ht="13.5" customHeight="1">
      <c r="A23" s="657" t="s">
        <v>28</v>
      </c>
      <c r="B23" s="650"/>
      <c r="C23" s="655"/>
      <c r="D23" s="652"/>
      <c r="E23" s="652"/>
      <c r="F23" s="669"/>
      <c r="G23" s="670"/>
      <c r="H23" s="670"/>
      <c r="I23" s="670"/>
      <c r="J23" s="670"/>
      <c r="K23" s="670"/>
      <c r="L23" s="670"/>
      <c r="M23" s="670"/>
      <c r="N23" s="670"/>
      <c r="O23" s="670"/>
      <c r="P23" s="670"/>
      <c r="Q23" s="670"/>
      <c r="R23" s="670"/>
      <c r="S23" s="670"/>
      <c r="T23" s="670"/>
      <c r="U23" s="670"/>
      <c r="V23" s="670"/>
      <c r="W23" s="670"/>
      <c r="X23" s="670"/>
      <c r="Y23" s="670"/>
    </row>
    <row r="24" spans="1:25" s="836" customFormat="1" ht="13.5" customHeight="1">
      <c r="A24" s="2516" t="s">
        <v>1403</v>
      </c>
      <c r="B24" s="2499"/>
      <c r="C24" s="837"/>
      <c r="D24" s="837"/>
      <c r="E24" s="840"/>
      <c r="F24" s="847">
        <v>0.05</v>
      </c>
      <c r="G24" s="847">
        <v>0.05</v>
      </c>
      <c r="H24" s="847">
        <v>0.05</v>
      </c>
      <c r="I24" s="847">
        <v>0.05</v>
      </c>
      <c r="J24" s="847">
        <v>0.05</v>
      </c>
      <c r="K24" s="847">
        <v>0.05</v>
      </c>
      <c r="L24" s="847">
        <v>0.05</v>
      </c>
      <c r="M24" s="847">
        <v>0.05</v>
      </c>
      <c r="N24" s="847">
        <v>0.05</v>
      </c>
      <c r="O24" s="847">
        <v>0.05</v>
      </c>
      <c r="P24" s="847">
        <v>0.05</v>
      </c>
      <c r="Q24" s="847">
        <v>0.05</v>
      </c>
      <c r="R24" s="847">
        <v>0.05</v>
      </c>
      <c r="S24" s="847">
        <v>0.05</v>
      </c>
      <c r="T24" s="847">
        <v>0.05</v>
      </c>
      <c r="U24" s="847">
        <v>0.05</v>
      </c>
      <c r="V24" s="847">
        <v>0.05</v>
      </c>
      <c r="W24" s="847">
        <v>0.05</v>
      </c>
      <c r="X24" s="847">
        <v>0.05</v>
      </c>
      <c r="Y24" s="847">
        <v>0.05</v>
      </c>
    </row>
    <row r="25" spans="1:25" s="836" customFormat="1" ht="13.5" customHeight="1">
      <c r="A25" s="2516" t="s">
        <v>1400</v>
      </c>
      <c r="B25" s="2499"/>
      <c r="C25" s="837"/>
      <c r="D25" s="837"/>
      <c r="E25" s="837"/>
      <c r="F25" s="838">
        <f t="shared" ref="F25:Y25" si="9">F9*F24</f>
        <v>0</v>
      </c>
      <c r="G25" s="839">
        <f t="shared" si="9"/>
        <v>0</v>
      </c>
      <c r="H25" s="839">
        <f t="shared" si="9"/>
        <v>0</v>
      </c>
      <c r="I25" s="839">
        <f t="shared" si="9"/>
        <v>0</v>
      </c>
      <c r="J25" s="839">
        <f t="shared" si="9"/>
        <v>0</v>
      </c>
      <c r="K25" s="839">
        <f t="shared" si="9"/>
        <v>0</v>
      </c>
      <c r="L25" s="839">
        <f t="shared" si="9"/>
        <v>0</v>
      </c>
      <c r="M25" s="839">
        <f t="shared" si="9"/>
        <v>0</v>
      </c>
      <c r="N25" s="839">
        <f t="shared" si="9"/>
        <v>0</v>
      </c>
      <c r="O25" s="839">
        <f t="shared" si="9"/>
        <v>0</v>
      </c>
      <c r="P25" s="839">
        <f t="shared" si="9"/>
        <v>0</v>
      </c>
      <c r="Q25" s="839">
        <f t="shared" si="9"/>
        <v>0</v>
      </c>
      <c r="R25" s="839">
        <f t="shared" si="9"/>
        <v>0</v>
      </c>
      <c r="S25" s="839">
        <f t="shared" si="9"/>
        <v>0</v>
      </c>
      <c r="T25" s="839">
        <f t="shared" si="9"/>
        <v>0</v>
      </c>
      <c r="U25" s="839">
        <f t="shared" si="9"/>
        <v>0</v>
      </c>
      <c r="V25" s="839">
        <f t="shared" si="9"/>
        <v>0</v>
      </c>
      <c r="W25" s="839">
        <f t="shared" si="9"/>
        <v>0</v>
      </c>
      <c r="X25" s="839">
        <f t="shared" si="9"/>
        <v>0</v>
      </c>
      <c r="Y25" s="839">
        <f t="shared" si="9"/>
        <v>0</v>
      </c>
    </row>
    <row r="26" spans="1:25" s="836" customFormat="1" ht="13.5" customHeight="1">
      <c r="A26" s="2494" t="s">
        <v>837</v>
      </c>
      <c r="B26" s="2494"/>
      <c r="C26" s="837"/>
      <c r="D26" s="837"/>
      <c r="E26" s="837">
        <f>'Operating '!D47</f>
        <v>0.05</v>
      </c>
      <c r="F26" s="839">
        <f>$E$26*(F11+F12)</f>
        <v>0</v>
      </c>
      <c r="G26" s="839">
        <f t="shared" ref="G26:Y26" si="10">$E$26*(G11+G12)</f>
        <v>0</v>
      </c>
      <c r="H26" s="839">
        <f t="shared" si="10"/>
        <v>0</v>
      </c>
      <c r="I26" s="839">
        <f t="shared" si="10"/>
        <v>0</v>
      </c>
      <c r="J26" s="839">
        <f t="shared" si="10"/>
        <v>0</v>
      </c>
      <c r="K26" s="839">
        <f t="shared" si="10"/>
        <v>0</v>
      </c>
      <c r="L26" s="839">
        <f t="shared" si="10"/>
        <v>0</v>
      </c>
      <c r="M26" s="839">
        <f t="shared" si="10"/>
        <v>0</v>
      </c>
      <c r="N26" s="839">
        <f t="shared" si="10"/>
        <v>0</v>
      </c>
      <c r="O26" s="839">
        <f t="shared" si="10"/>
        <v>0</v>
      </c>
      <c r="P26" s="839">
        <f t="shared" si="10"/>
        <v>0</v>
      </c>
      <c r="Q26" s="839">
        <f t="shared" si="10"/>
        <v>0</v>
      </c>
      <c r="R26" s="839">
        <f t="shared" si="10"/>
        <v>0</v>
      </c>
      <c r="S26" s="839">
        <f t="shared" si="10"/>
        <v>0</v>
      </c>
      <c r="T26" s="839">
        <f t="shared" si="10"/>
        <v>0</v>
      </c>
      <c r="U26" s="839">
        <f t="shared" si="10"/>
        <v>0</v>
      </c>
      <c r="V26" s="839">
        <f t="shared" si="10"/>
        <v>0</v>
      </c>
      <c r="W26" s="839">
        <f t="shared" si="10"/>
        <v>0</v>
      </c>
      <c r="X26" s="839">
        <f t="shared" si="10"/>
        <v>0</v>
      </c>
      <c r="Y26" s="839">
        <f t="shared" si="10"/>
        <v>0</v>
      </c>
    </row>
    <row r="27" spans="1:25" s="836" customFormat="1" ht="13.5" customHeight="1">
      <c r="A27" s="2499" t="str">
        <f>A14</f>
        <v>Other: (specify)</v>
      </c>
      <c r="B27" s="2499"/>
      <c r="C27" s="837"/>
      <c r="D27" s="837"/>
      <c r="E27" s="837">
        <f>'Operating '!D48</f>
        <v>0.05</v>
      </c>
      <c r="F27" s="838">
        <f t="shared" ref="F27:Y27" si="11">+$E27*F14</f>
        <v>0</v>
      </c>
      <c r="G27" s="839">
        <f t="shared" si="11"/>
        <v>0</v>
      </c>
      <c r="H27" s="839">
        <f t="shared" si="11"/>
        <v>0</v>
      </c>
      <c r="I27" s="839">
        <f t="shared" si="11"/>
        <v>0</v>
      </c>
      <c r="J27" s="839">
        <f t="shared" si="11"/>
        <v>0</v>
      </c>
      <c r="K27" s="839">
        <f t="shared" si="11"/>
        <v>0</v>
      </c>
      <c r="L27" s="839">
        <f t="shared" si="11"/>
        <v>0</v>
      </c>
      <c r="M27" s="839">
        <f t="shared" si="11"/>
        <v>0</v>
      </c>
      <c r="N27" s="839">
        <f t="shared" si="11"/>
        <v>0</v>
      </c>
      <c r="O27" s="839">
        <f t="shared" si="11"/>
        <v>0</v>
      </c>
      <c r="P27" s="839">
        <f t="shared" si="11"/>
        <v>0</v>
      </c>
      <c r="Q27" s="839">
        <f t="shared" si="11"/>
        <v>0</v>
      </c>
      <c r="R27" s="839">
        <f t="shared" si="11"/>
        <v>0</v>
      </c>
      <c r="S27" s="839">
        <f t="shared" si="11"/>
        <v>0</v>
      </c>
      <c r="T27" s="839">
        <f t="shared" si="11"/>
        <v>0</v>
      </c>
      <c r="U27" s="839">
        <f t="shared" si="11"/>
        <v>0</v>
      </c>
      <c r="V27" s="839">
        <f t="shared" si="11"/>
        <v>0</v>
      </c>
      <c r="W27" s="839">
        <f t="shared" si="11"/>
        <v>0</v>
      </c>
      <c r="X27" s="839">
        <f t="shared" si="11"/>
        <v>0</v>
      </c>
      <c r="Y27" s="839">
        <f t="shared" si="11"/>
        <v>0</v>
      </c>
    </row>
    <row r="28" spans="1:25" s="836" customFormat="1" ht="13.5" customHeight="1">
      <c r="A28" s="2499" t="s">
        <v>999</v>
      </c>
      <c r="B28" s="2499"/>
      <c r="C28" s="837"/>
      <c r="D28" s="837"/>
      <c r="E28" s="837">
        <f>'Operating '!D49</f>
        <v>0.05</v>
      </c>
      <c r="F28" s="838">
        <f t="shared" ref="F28:Y28" si="12">+$E28*(F18+F19)</f>
        <v>0</v>
      </c>
      <c r="G28" s="839">
        <f t="shared" si="12"/>
        <v>0</v>
      </c>
      <c r="H28" s="839">
        <f t="shared" si="12"/>
        <v>0</v>
      </c>
      <c r="I28" s="839">
        <f t="shared" si="12"/>
        <v>0</v>
      </c>
      <c r="J28" s="839">
        <f t="shared" si="12"/>
        <v>0</v>
      </c>
      <c r="K28" s="839">
        <f t="shared" si="12"/>
        <v>0</v>
      </c>
      <c r="L28" s="839">
        <f t="shared" si="12"/>
        <v>0</v>
      </c>
      <c r="M28" s="839">
        <f t="shared" si="12"/>
        <v>0</v>
      </c>
      <c r="N28" s="839">
        <f t="shared" si="12"/>
        <v>0</v>
      </c>
      <c r="O28" s="839">
        <f t="shared" si="12"/>
        <v>0</v>
      </c>
      <c r="P28" s="839">
        <f t="shared" si="12"/>
        <v>0</v>
      </c>
      <c r="Q28" s="839">
        <f t="shared" si="12"/>
        <v>0</v>
      </c>
      <c r="R28" s="839">
        <f t="shared" si="12"/>
        <v>0</v>
      </c>
      <c r="S28" s="839">
        <f t="shared" si="12"/>
        <v>0</v>
      </c>
      <c r="T28" s="839">
        <f t="shared" si="12"/>
        <v>0</v>
      </c>
      <c r="U28" s="839">
        <f t="shared" si="12"/>
        <v>0</v>
      </c>
      <c r="V28" s="839">
        <f t="shared" si="12"/>
        <v>0</v>
      </c>
      <c r="W28" s="839">
        <f t="shared" si="12"/>
        <v>0</v>
      </c>
      <c r="X28" s="839">
        <f t="shared" si="12"/>
        <v>0</v>
      </c>
      <c r="Y28" s="839">
        <f t="shared" si="12"/>
        <v>0</v>
      </c>
    </row>
    <row r="29" spans="1:25" s="836" customFormat="1" ht="13.5" customHeight="1">
      <c r="A29" s="2514" t="s">
        <v>212</v>
      </c>
      <c r="B29" s="2514"/>
      <c r="C29" s="2514"/>
      <c r="D29" s="2514"/>
      <c r="E29" s="2515"/>
      <c r="F29" s="671">
        <f t="shared" ref="F29:Y29" si="13">SUM(F25:F28)</f>
        <v>0</v>
      </c>
      <c r="G29" s="672">
        <f t="shared" si="13"/>
        <v>0</v>
      </c>
      <c r="H29" s="672">
        <f t="shared" si="13"/>
        <v>0</v>
      </c>
      <c r="I29" s="672">
        <f t="shared" si="13"/>
        <v>0</v>
      </c>
      <c r="J29" s="672">
        <f t="shared" si="13"/>
        <v>0</v>
      </c>
      <c r="K29" s="672">
        <f t="shared" si="13"/>
        <v>0</v>
      </c>
      <c r="L29" s="672">
        <f t="shared" si="13"/>
        <v>0</v>
      </c>
      <c r="M29" s="672">
        <f t="shared" si="13"/>
        <v>0</v>
      </c>
      <c r="N29" s="672">
        <f t="shared" si="13"/>
        <v>0</v>
      </c>
      <c r="O29" s="672">
        <f t="shared" si="13"/>
        <v>0</v>
      </c>
      <c r="P29" s="672">
        <f t="shared" si="13"/>
        <v>0</v>
      </c>
      <c r="Q29" s="672">
        <f t="shared" si="13"/>
        <v>0</v>
      </c>
      <c r="R29" s="672">
        <f t="shared" si="13"/>
        <v>0</v>
      </c>
      <c r="S29" s="672">
        <f t="shared" si="13"/>
        <v>0</v>
      </c>
      <c r="T29" s="672">
        <f t="shared" si="13"/>
        <v>0</v>
      </c>
      <c r="U29" s="672">
        <f t="shared" si="13"/>
        <v>0</v>
      </c>
      <c r="V29" s="672">
        <f t="shared" si="13"/>
        <v>0</v>
      </c>
      <c r="W29" s="672">
        <f t="shared" si="13"/>
        <v>0</v>
      </c>
      <c r="X29" s="672">
        <f t="shared" si="13"/>
        <v>0</v>
      </c>
      <c r="Y29" s="672">
        <f t="shared" si="13"/>
        <v>0</v>
      </c>
    </row>
    <row r="30" spans="1:25" s="836" customFormat="1" ht="13.5" customHeight="1">
      <c r="A30" s="2514" t="s">
        <v>134</v>
      </c>
      <c r="B30" s="2514"/>
      <c r="C30" s="2514"/>
      <c r="D30" s="2514"/>
      <c r="E30" s="2515"/>
      <c r="F30" s="667">
        <f t="shared" ref="F30:Y30" si="14">F21-F29</f>
        <v>0</v>
      </c>
      <c r="G30" s="668">
        <f t="shared" si="14"/>
        <v>0</v>
      </c>
      <c r="H30" s="668">
        <f t="shared" si="14"/>
        <v>0</v>
      </c>
      <c r="I30" s="668">
        <f t="shared" si="14"/>
        <v>0</v>
      </c>
      <c r="J30" s="668">
        <f t="shared" si="14"/>
        <v>0</v>
      </c>
      <c r="K30" s="668">
        <f t="shared" si="14"/>
        <v>0</v>
      </c>
      <c r="L30" s="668">
        <f t="shared" si="14"/>
        <v>0</v>
      </c>
      <c r="M30" s="668">
        <f t="shared" si="14"/>
        <v>0</v>
      </c>
      <c r="N30" s="668">
        <f t="shared" si="14"/>
        <v>0</v>
      </c>
      <c r="O30" s="668">
        <f t="shared" si="14"/>
        <v>0</v>
      </c>
      <c r="P30" s="668">
        <f t="shared" si="14"/>
        <v>0</v>
      </c>
      <c r="Q30" s="668">
        <f t="shared" si="14"/>
        <v>0</v>
      </c>
      <c r="R30" s="668">
        <f t="shared" si="14"/>
        <v>0</v>
      </c>
      <c r="S30" s="668">
        <f t="shared" si="14"/>
        <v>0</v>
      </c>
      <c r="T30" s="668">
        <f t="shared" si="14"/>
        <v>0</v>
      </c>
      <c r="U30" s="668">
        <f t="shared" si="14"/>
        <v>0</v>
      </c>
      <c r="V30" s="668">
        <f t="shared" si="14"/>
        <v>0</v>
      </c>
      <c r="W30" s="668">
        <f t="shared" si="14"/>
        <v>0</v>
      </c>
      <c r="X30" s="668">
        <f t="shared" si="14"/>
        <v>0</v>
      </c>
      <c r="Y30" s="668">
        <f t="shared" si="14"/>
        <v>0</v>
      </c>
    </row>
    <row r="31" spans="1:25" s="38" customFormat="1" ht="13.5" customHeight="1">
      <c r="C31" s="656"/>
      <c r="D31" s="656"/>
      <c r="E31" s="656"/>
      <c r="F31" s="667"/>
      <c r="G31" s="668"/>
      <c r="H31" s="668"/>
      <c r="I31" s="668"/>
      <c r="J31" s="668"/>
      <c r="K31" s="668"/>
      <c r="L31" s="668"/>
      <c r="M31" s="668"/>
      <c r="N31" s="668"/>
      <c r="O31" s="668"/>
      <c r="P31" s="668"/>
      <c r="Q31" s="668"/>
      <c r="R31" s="668"/>
      <c r="S31" s="668"/>
      <c r="T31" s="668"/>
      <c r="U31" s="668"/>
      <c r="V31" s="668"/>
      <c r="W31" s="668"/>
      <c r="X31" s="668"/>
      <c r="Y31" s="668"/>
    </row>
    <row r="32" spans="1:25" s="38" customFormat="1" ht="13.5" customHeight="1">
      <c r="A32" s="657" t="s">
        <v>1387</v>
      </c>
      <c r="B32" s="657"/>
      <c r="C32" s="652" t="s">
        <v>1367</v>
      </c>
      <c r="D32" s="652" t="s">
        <v>998</v>
      </c>
      <c r="E32" s="652" t="s">
        <v>206</v>
      </c>
      <c r="F32" s="673"/>
      <c r="G32" s="666"/>
      <c r="H32" s="666"/>
      <c r="I32" s="666"/>
      <c r="J32" s="666"/>
      <c r="K32" s="666"/>
      <c r="L32" s="666"/>
      <c r="M32" s="666"/>
      <c r="N32" s="666"/>
      <c r="O32" s="666"/>
      <c r="P32" s="666"/>
      <c r="Q32" s="666"/>
      <c r="R32" s="666"/>
      <c r="S32" s="666"/>
      <c r="T32" s="666"/>
      <c r="U32" s="666"/>
      <c r="V32" s="666"/>
      <c r="W32" s="666"/>
      <c r="X32" s="666"/>
      <c r="Y32" s="666"/>
    </row>
    <row r="33" spans="1:25" s="836" customFormat="1" ht="24" customHeight="1">
      <c r="A33" s="2513" t="s">
        <v>1078</v>
      </c>
      <c r="B33" s="2513"/>
      <c r="C33" s="660">
        <f>'Operating '!D110-'Operating '!D92-'Operating '!D108</f>
        <v>0</v>
      </c>
      <c r="D33" s="837">
        <f>$D$9</f>
        <v>0</v>
      </c>
      <c r="E33" s="840">
        <v>3.5000000000000003E-2</v>
      </c>
      <c r="F33" s="660">
        <f>IF(C33=0,0,C33*D33)</f>
        <v>0</v>
      </c>
      <c r="G33" s="660">
        <f t="shared" ref="G33:Y37" si="15">F33*(1+$E33)</f>
        <v>0</v>
      </c>
      <c r="H33" s="660">
        <f t="shared" si="15"/>
        <v>0</v>
      </c>
      <c r="I33" s="660">
        <f t="shared" si="15"/>
        <v>0</v>
      </c>
      <c r="J33" s="660">
        <f t="shared" si="15"/>
        <v>0</v>
      </c>
      <c r="K33" s="660">
        <f t="shared" si="15"/>
        <v>0</v>
      </c>
      <c r="L33" s="660">
        <f t="shared" si="15"/>
        <v>0</v>
      </c>
      <c r="M33" s="660">
        <f t="shared" si="15"/>
        <v>0</v>
      </c>
      <c r="N33" s="660">
        <f t="shared" si="15"/>
        <v>0</v>
      </c>
      <c r="O33" s="660">
        <f t="shared" si="15"/>
        <v>0</v>
      </c>
      <c r="P33" s="660">
        <f t="shared" si="15"/>
        <v>0</v>
      </c>
      <c r="Q33" s="660">
        <f t="shared" si="15"/>
        <v>0</v>
      </c>
      <c r="R33" s="660">
        <f t="shared" si="15"/>
        <v>0</v>
      </c>
      <c r="S33" s="660">
        <f t="shared" si="15"/>
        <v>0</v>
      </c>
      <c r="T33" s="660">
        <f t="shared" si="15"/>
        <v>0</v>
      </c>
      <c r="U33" s="660">
        <f t="shared" si="15"/>
        <v>0</v>
      </c>
      <c r="V33" s="660">
        <f t="shared" si="15"/>
        <v>0</v>
      </c>
      <c r="W33" s="660">
        <f t="shared" si="15"/>
        <v>0</v>
      </c>
      <c r="X33" s="660">
        <f t="shared" si="15"/>
        <v>0</v>
      </c>
      <c r="Y33" s="660">
        <f t="shared" si="15"/>
        <v>0</v>
      </c>
    </row>
    <row r="34" spans="1:25" s="836" customFormat="1" ht="13.5" customHeight="1">
      <c r="A34" s="2513" t="s">
        <v>902</v>
      </c>
      <c r="B34" s="2513"/>
      <c r="C34" s="660">
        <f>'Operating '!D92</f>
        <v>0</v>
      </c>
      <c r="D34" s="837">
        <f>$D$9</f>
        <v>0</v>
      </c>
      <c r="E34" s="840">
        <v>0.02</v>
      </c>
      <c r="F34" s="660">
        <f>IF(C34=0,0,C34*D34)</f>
        <v>0</v>
      </c>
      <c r="G34" s="660">
        <f t="shared" si="15"/>
        <v>0</v>
      </c>
      <c r="H34" s="660">
        <f t="shared" si="15"/>
        <v>0</v>
      </c>
      <c r="I34" s="660">
        <f t="shared" si="15"/>
        <v>0</v>
      </c>
      <c r="J34" s="660">
        <f t="shared" si="15"/>
        <v>0</v>
      </c>
      <c r="K34" s="660">
        <f t="shared" si="15"/>
        <v>0</v>
      </c>
      <c r="L34" s="660">
        <f t="shared" si="15"/>
        <v>0</v>
      </c>
      <c r="M34" s="660">
        <f t="shared" si="15"/>
        <v>0</v>
      </c>
      <c r="N34" s="660">
        <f t="shared" si="15"/>
        <v>0</v>
      </c>
      <c r="O34" s="660">
        <f t="shared" si="15"/>
        <v>0</v>
      </c>
      <c r="P34" s="660">
        <f t="shared" si="15"/>
        <v>0</v>
      </c>
      <c r="Q34" s="660">
        <f t="shared" si="15"/>
        <v>0</v>
      </c>
      <c r="R34" s="660">
        <f t="shared" si="15"/>
        <v>0</v>
      </c>
      <c r="S34" s="660">
        <f t="shared" si="15"/>
        <v>0</v>
      </c>
      <c r="T34" s="660">
        <f t="shared" si="15"/>
        <v>0</v>
      </c>
      <c r="U34" s="660">
        <f t="shared" si="15"/>
        <v>0</v>
      </c>
      <c r="V34" s="660">
        <f t="shared" si="15"/>
        <v>0</v>
      </c>
      <c r="W34" s="660">
        <f t="shared" si="15"/>
        <v>0</v>
      </c>
      <c r="X34" s="660">
        <f t="shared" si="15"/>
        <v>0</v>
      </c>
      <c r="Y34" s="660">
        <f t="shared" si="15"/>
        <v>0</v>
      </c>
    </row>
    <row r="35" spans="1:25" s="836" customFormat="1" ht="48" customHeight="1">
      <c r="A35" s="2498" t="s">
        <v>1081</v>
      </c>
      <c r="B35" s="2498"/>
      <c r="C35" s="660">
        <f>'Operating '!D108</f>
        <v>0</v>
      </c>
      <c r="D35" s="841">
        <f>$D$9</f>
        <v>0</v>
      </c>
      <c r="E35" s="842">
        <f>'Cash Flow'!C36</f>
        <v>2.5000000000000001E-2</v>
      </c>
      <c r="F35" s="660">
        <f>IF(C35=0,0,C35*D35)</f>
        <v>0</v>
      </c>
      <c r="G35" s="660">
        <f t="shared" ref="G35:Y35" si="16">F35*(1+$E35)</f>
        <v>0</v>
      </c>
      <c r="H35" s="660">
        <f t="shared" si="16"/>
        <v>0</v>
      </c>
      <c r="I35" s="660">
        <f t="shared" si="16"/>
        <v>0</v>
      </c>
      <c r="J35" s="660">
        <f t="shared" si="16"/>
        <v>0</v>
      </c>
      <c r="K35" s="660">
        <f t="shared" si="16"/>
        <v>0</v>
      </c>
      <c r="L35" s="660">
        <f t="shared" si="16"/>
        <v>0</v>
      </c>
      <c r="M35" s="660">
        <f t="shared" si="16"/>
        <v>0</v>
      </c>
      <c r="N35" s="660">
        <f t="shared" si="16"/>
        <v>0</v>
      </c>
      <c r="O35" s="660">
        <f t="shared" si="16"/>
        <v>0</v>
      </c>
      <c r="P35" s="660">
        <f t="shared" si="16"/>
        <v>0</v>
      </c>
      <c r="Q35" s="660">
        <f t="shared" si="16"/>
        <v>0</v>
      </c>
      <c r="R35" s="660">
        <f t="shared" si="16"/>
        <v>0</v>
      </c>
      <c r="S35" s="660">
        <f t="shared" si="16"/>
        <v>0</v>
      </c>
      <c r="T35" s="660">
        <f t="shared" si="16"/>
        <v>0</v>
      </c>
      <c r="U35" s="660">
        <f t="shared" si="16"/>
        <v>0</v>
      </c>
      <c r="V35" s="660">
        <f t="shared" si="16"/>
        <v>0</v>
      </c>
      <c r="W35" s="660">
        <f t="shared" si="16"/>
        <v>0</v>
      </c>
      <c r="X35" s="660">
        <f t="shared" si="16"/>
        <v>0</v>
      </c>
      <c r="Y35" s="660">
        <f t="shared" si="16"/>
        <v>0</v>
      </c>
    </row>
    <row r="36" spans="1:25" s="836" customFormat="1" ht="24.75" customHeight="1">
      <c r="A36" s="2513" t="s">
        <v>1072</v>
      </c>
      <c r="B36" s="2513"/>
      <c r="C36" s="660">
        <f>'Operating '!D112</f>
        <v>0</v>
      </c>
      <c r="D36" s="837">
        <f>$D$9</f>
        <v>0</v>
      </c>
      <c r="E36" s="840">
        <f>'Cash Flow'!C37</f>
        <v>0</v>
      </c>
      <c r="F36" s="660">
        <f>IF(C36=0,0,C36*D36)</f>
        <v>0</v>
      </c>
      <c r="G36" s="660">
        <f t="shared" si="15"/>
        <v>0</v>
      </c>
      <c r="H36" s="660">
        <f t="shared" si="15"/>
        <v>0</v>
      </c>
      <c r="I36" s="660">
        <f t="shared" si="15"/>
        <v>0</v>
      </c>
      <c r="J36" s="660">
        <f t="shared" si="15"/>
        <v>0</v>
      </c>
      <c r="K36" s="660">
        <f t="shared" si="15"/>
        <v>0</v>
      </c>
      <c r="L36" s="660">
        <f t="shared" si="15"/>
        <v>0</v>
      </c>
      <c r="M36" s="660">
        <f t="shared" si="15"/>
        <v>0</v>
      </c>
      <c r="N36" s="660">
        <f t="shared" si="15"/>
        <v>0</v>
      </c>
      <c r="O36" s="660">
        <f t="shared" si="15"/>
        <v>0</v>
      </c>
      <c r="P36" s="660">
        <f t="shared" si="15"/>
        <v>0</v>
      </c>
      <c r="Q36" s="660">
        <f t="shared" si="15"/>
        <v>0</v>
      </c>
      <c r="R36" s="660">
        <f t="shared" si="15"/>
        <v>0</v>
      </c>
      <c r="S36" s="660">
        <f t="shared" si="15"/>
        <v>0</v>
      </c>
      <c r="T36" s="660">
        <f t="shared" si="15"/>
        <v>0</v>
      </c>
      <c r="U36" s="660">
        <f t="shared" si="15"/>
        <v>0</v>
      </c>
      <c r="V36" s="660">
        <f t="shared" si="15"/>
        <v>0</v>
      </c>
      <c r="W36" s="660">
        <f t="shared" si="15"/>
        <v>0</v>
      </c>
      <c r="X36" s="660">
        <f t="shared" si="15"/>
        <v>0</v>
      </c>
      <c r="Y36" s="660">
        <f t="shared" si="15"/>
        <v>0</v>
      </c>
    </row>
    <row r="37" spans="1:25" s="836" customFormat="1" ht="13.5" customHeight="1">
      <c r="A37" s="2513" t="s">
        <v>1079</v>
      </c>
      <c r="B37" s="2513"/>
      <c r="C37" s="833">
        <f>'Operating '!D113+'Operating '!D114+'Operating '!D115</f>
        <v>0</v>
      </c>
      <c r="D37" s="837">
        <f>$D$9</f>
        <v>0</v>
      </c>
      <c r="E37" s="840">
        <f>'Cash Flow'!C38</f>
        <v>0</v>
      </c>
      <c r="F37" s="660">
        <f>IF(D37=0,0,C37*D37)</f>
        <v>0</v>
      </c>
      <c r="G37" s="660">
        <f t="shared" si="15"/>
        <v>0</v>
      </c>
      <c r="H37" s="660">
        <f t="shared" si="15"/>
        <v>0</v>
      </c>
      <c r="I37" s="660">
        <f t="shared" si="15"/>
        <v>0</v>
      </c>
      <c r="J37" s="660">
        <f t="shared" si="15"/>
        <v>0</v>
      </c>
      <c r="K37" s="660">
        <f t="shared" si="15"/>
        <v>0</v>
      </c>
      <c r="L37" s="660">
        <f t="shared" si="15"/>
        <v>0</v>
      </c>
      <c r="M37" s="660">
        <f t="shared" si="15"/>
        <v>0</v>
      </c>
      <c r="N37" s="660">
        <f t="shared" si="15"/>
        <v>0</v>
      </c>
      <c r="O37" s="660">
        <f t="shared" si="15"/>
        <v>0</v>
      </c>
      <c r="P37" s="660">
        <f t="shared" si="15"/>
        <v>0</v>
      </c>
      <c r="Q37" s="660">
        <f t="shared" si="15"/>
        <v>0</v>
      </c>
      <c r="R37" s="660">
        <f t="shared" si="15"/>
        <v>0</v>
      </c>
      <c r="S37" s="660">
        <f t="shared" si="15"/>
        <v>0</v>
      </c>
      <c r="T37" s="660">
        <f t="shared" si="15"/>
        <v>0</v>
      </c>
      <c r="U37" s="660">
        <f t="shared" si="15"/>
        <v>0</v>
      </c>
      <c r="V37" s="660">
        <f t="shared" si="15"/>
        <v>0</v>
      </c>
      <c r="W37" s="660">
        <f t="shared" si="15"/>
        <v>0</v>
      </c>
      <c r="X37" s="660">
        <f t="shared" si="15"/>
        <v>0</v>
      </c>
      <c r="Y37" s="660">
        <f t="shared" si="15"/>
        <v>0</v>
      </c>
    </row>
    <row r="38" spans="1:25" s="675" customFormat="1">
      <c r="A38" s="2511" t="s">
        <v>1080</v>
      </c>
      <c r="B38" s="2511"/>
      <c r="C38" s="2511"/>
      <c r="D38" s="2511"/>
      <c r="E38" s="2512"/>
      <c r="F38" s="843">
        <f t="shared" ref="F38:Y38" si="17">SUM(F33:F37)</f>
        <v>0</v>
      </c>
      <c r="G38" s="843">
        <f t="shared" si="17"/>
        <v>0</v>
      </c>
      <c r="H38" s="843">
        <f t="shared" si="17"/>
        <v>0</v>
      </c>
      <c r="I38" s="843">
        <f t="shared" si="17"/>
        <v>0</v>
      </c>
      <c r="J38" s="843">
        <f t="shared" si="17"/>
        <v>0</v>
      </c>
      <c r="K38" s="843">
        <f t="shared" si="17"/>
        <v>0</v>
      </c>
      <c r="L38" s="843">
        <f t="shared" si="17"/>
        <v>0</v>
      </c>
      <c r="M38" s="843">
        <f t="shared" si="17"/>
        <v>0</v>
      </c>
      <c r="N38" s="843">
        <f t="shared" si="17"/>
        <v>0</v>
      </c>
      <c r="O38" s="843">
        <f t="shared" si="17"/>
        <v>0</v>
      </c>
      <c r="P38" s="843">
        <f t="shared" si="17"/>
        <v>0</v>
      </c>
      <c r="Q38" s="843">
        <f t="shared" si="17"/>
        <v>0</v>
      </c>
      <c r="R38" s="843">
        <f t="shared" si="17"/>
        <v>0</v>
      </c>
      <c r="S38" s="843">
        <f t="shared" si="17"/>
        <v>0</v>
      </c>
      <c r="T38" s="843">
        <f t="shared" si="17"/>
        <v>0</v>
      </c>
      <c r="U38" s="843">
        <f t="shared" si="17"/>
        <v>0</v>
      </c>
      <c r="V38" s="843">
        <f t="shared" si="17"/>
        <v>0</v>
      </c>
      <c r="W38" s="843">
        <f t="shared" si="17"/>
        <v>0</v>
      </c>
      <c r="X38" s="843">
        <f t="shared" si="17"/>
        <v>0</v>
      </c>
      <c r="Y38" s="843">
        <f t="shared" si="17"/>
        <v>0</v>
      </c>
    </row>
    <row r="39" spans="1:25" s="836" customFormat="1">
      <c r="A39" s="2507" t="s">
        <v>1354</v>
      </c>
      <c r="B39" s="2507"/>
      <c r="C39" s="2507"/>
      <c r="D39" s="2507"/>
      <c r="E39" s="2508"/>
      <c r="F39" s="899">
        <f t="shared" ref="F39:Y39" si="18">F30-F38</f>
        <v>0</v>
      </c>
      <c r="G39" s="900">
        <f t="shared" si="18"/>
        <v>0</v>
      </c>
      <c r="H39" s="900">
        <f t="shared" si="18"/>
        <v>0</v>
      </c>
      <c r="I39" s="900">
        <f t="shared" si="18"/>
        <v>0</v>
      </c>
      <c r="J39" s="900">
        <f t="shared" si="18"/>
        <v>0</v>
      </c>
      <c r="K39" s="900">
        <f t="shared" si="18"/>
        <v>0</v>
      </c>
      <c r="L39" s="900">
        <f t="shared" si="18"/>
        <v>0</v>
      </c>
      <c r="M39" s="900">
        <f t="shared" si="18"/>
        <v>0</v>
      </c>
      <c r="N39" s="900">
        <f t="shared" si="18"/>
        <v>0</v>
      </c>
      <c r="O39" s="900">
        <f t="shared" si="18"/>
        <v>0</v>
      </c>
      <c r="P39" s="900">
        <f t="shared" si="18"/>
        <v>0</v>
      </c>
      <c r="Q39" s="900">
        <f t="shared" si="18"/>
        <v>0</v>
      </c>
      <c r="R39" s="900">
        <f t="shared" si="18"/>
        <v>0</v>
      </c>
      <c r="S39" s="900">
        <f t="shared" si="18"/>
        <v>0</v>
      </c>
      <c r="T39" s="900">
        <f t="shared" si="18"/>
        <v>0</v>
      </c>
      <c r="U39" s="900">
        <f t="shared" si="18"/>
        <v>0</v>
      </c>
      <c r="V39" s="900">
        <f t="shared" si="18"/>
        <v>0</v>
      </c>
      <c r="W39" s="900">
        <f t="shared" si="18"/>
        <v>0</v>
      </c>
      <c r="X39" s="900">
        <f t="shared" si="18"/>
        <v>0</v>
      </c>
      <c r="Y39" s="900">
        <f t="shared" si="18"/>
        <v>0</v>
      </c>
    </row>
    <row r="40" spans="1:25" s="836" customFormat="1" ht="26.25" customHeight="1" thickBot="1">
      <c r="A40" s="2506" t="s">
        <v>1364</v>
      </c>
      <c r="B40" s="2506"/>
      <c r="C40" s="846">
        <v>0</v>
      </c>
      <c r="D40" s="908">
        <v>1</v>
      </c>
      <c r="E40" s="840"/>
      <c r="F40" s="901">
        <f t="shared" ref="F40:Y40" si="19">IF($C$40=0,0,$C$40*$D$40)</f>
        <v>0</v>
      </c>
      <c r="G40" s="902">
        <f t="shared" si="19"/>
        <v>0</v>
      </c>
      <c r="H40" s="902">
        <f t="shared" si="19"/>
        <v>0</v>
      </c>
      <c r="I40" s="902">
        <f t="shared" si="19"/>
        <v>0</v>
      </c>
      <c r="J40" s="902">
        <f t="shared" si="19"/>
        <v>0</v>
      </c>
      <c r="K40" s="902">
        <f t="shared" si="19"/>
        <v>0</v>
      </c>
      <c r="L40" s="902">
        <f t="shared" si="19"/>
        <v>0</v>
      </c>
      <c r="M40" s="902">
        <f t="shared" si="19"/>
        <v>0</v>
      </c>
      <c r="N40" s="902">
        <f t="shared" si="19"/>
        <v>0</v>
      </c>
      <c r="O40" s="902">
        <f t="shared" si="19"/>
        <v>0</v>
      </c>
      <c r="P40" s="902">
        <f t="shared" si="19"/>
        <v>0</v>
      </c>
      <c r="Q40" s="902">
        <f t="shared" si="19"/>
        <v>0</v>
      </c>
      <c r="R40" s="902">
        <f t="shared" si="19"/>
        <v>0</v>
      </c>
      <c r="S40" s="902">
        <f t="shared" si="19"/>
        <v>0</v>
      </c>
      <c r="T40" s="902">
        <f t="shared" si="19"/>
        <v>0</v>
      </c>
      <c r="U40" s="902">
        <f t="shared" si="19"/>
        <v>0</v>
      </c>
      <c r="V40" s="902">
        <f t="shared" si="19"/>
        <v>0</v>
      </c>
      <c r="W40" s="902">
        <f t="shared" si="19"/>
        <v>0</v>
      </c>
      <c r="X40" s="902">
        <f t="shared" si="19"/>
        <v>0</v>
      </c>
      <c r="Y40" s="902">
        <f t="shared" si="19"/>
        <v>0</v>
      </c>
    </row>
    <row r="41" spans="1:25" s="675" customFormat="1" ht="13.5" customHeight="1" thickTop="1">
      <c r="A41" s="2509" t="s">
        <v>1362</v>
      </c>
      <c r="B41" s="2509"/>
      <c r="C41" s="2509"/>
      <c r="D41" s="2509"/>
      <c r="E41" s="2510"/>
      <c r="F41" s="672">
        <f>F39-F40</f>
        <v>0</v>
      </c>
      <c r="G41" s="672">
        <f t="shared" ref="G41:Y41" si="20">G39-G40</f>
        <v>0</v>
      </c>
      <c r="H41" s="672">
        <f t="shared" si="20"/>
        <v>0</v>
      </c>
      <c r="I41" s="672">
        <f t="shared" si="20"/>
        <v>0</v>
      </c>
      <c r="J41" s="672">
        <f t="shared" si="20"/>
        <v>0</v>
      </c>
      <c r="K41" s="672">
        <f t="shared" si="20"/>
        <v>0</v>
      </c>
      <c r="L41" s="672">
        <f t="shared" si="20"/>
        <v>0</v>
      </c>
      <c r="M41" s="672">
        <f t="shared" si="20"/>
        <v>0</v>
      </c>
      <c r="N41" s="672">
        <f t="shared" si="20"/>
        <v>0</v>
      </c>
      <c r="O41" s="672">
        <f t="shared" si="20"/>
        <v>0</v>
      </c>
      <c r="P41" s="672">
        <f t="shared" si="20"/>
        <v>0</v>
      </c>
      <c r="Q41" s="672">
        <f t="shared" si="20"/>
        <v>0</v>
      </c>
      <c r="R41" s="672">
        <f t="shared" si="20"/>
        <v>0</v>
      </c>
      <c r="S41" s="672">
        <f t="shared" si="20"/>
        <v>0</v>
      </c>
      <c r="T41" s="672">
        <f t="shared" si="20"/>
        <v>0</v>
      </c>
      <c r="U41" s="672">
        <f t="shared" si="20"/>
        <v>0</v>
      </c>
      <c r="V41" s="672">
        <f t="shared" si="20"/>
        <v>0</v>
      </c>
      <c r="W41" s="672">
        <f t="shared" si="20"/>
        <v>0</v>
      </c>
      <c r="X41" s="672">
        <f t="shared" si="20"/>
        <v>0</v>
      </c>
      <c r="Y41" s="672">
        <f t="shared" si="20"/>
        <v>0</v>
      </c>
    </row>
    <row r="42" spans="1:25" s="74" customFormat="1" ht="13.5" customHeight="1">
      <c r="A42" s="937" t="s">
        <v>1363</v>
      </c>
      <c r="B42" s="738"/>
      <c r="C42" s="652" t="s">
        <v>1367</v>
      </c>
      <c r="D42" s="652" t="s">
        <v>998</v>
      </c>
      <c r="E42" s="652" t="s">
        <v>206</v>
      </c>
      <c r="F42" s="751"/>
      <c r="G42" s="751"/>
      <c r="H42" s="751"/>
      <c r="I42" s="751"/>
      <c r="J42" s="751"/>
      <c r="K42" s="751"/>
      <c r="L42" s="751"/>
      <c r="M42" s="751"/>
      <c r="N42" s="751"/>
      <c r="O42" s="751"/>
      <c r="P42" s="751"/>
      <c r="Q42" s="751"/>
      <c r="R42" s="751"/>
      <c r="S42" s="752"/>
      <c r="T42" s="752"/>
      <c r="U42" s="752"/>
      <c r="V42" s="752"/>
      <c r="W42" s="752"/>
      <c r="X42" s="752"/>
      <c r="Y42" s="752"/>
    </row>
    <row r="43" spans="1:25" s="675" customFormat="1" ht="13.5" customHeight="1">
      <c r="A43" s="2504" t="s">
        <v>1360</v>
      </c>
      <c r="B43" s="2504"/>
      <c r="C43" s="2504"/>
      <c r="D43" s="2504"/>
      <c r="E43" s="2505"/>
      <c r="F43" s="839">
        <f>'Cash Flow'!D56-'NPLH COSR Calculation'!F50</f>
        <v>0</v>
      </c>
      <c r="G43" s="839">
        <f>'Cash Flow'!E56-'NPLH COSR Calculation'!G50</f>
        <v>0</v>
      </c>
      <c r="H43" s="839">
        <f>'Cash Flow'!F56-'NPLH COSR Calculation'!H50</f>
        <v>0</v>
      </c>
      <c r="I43" s="839">
        <f>'Cash Flow'!G56-'NPLH COSR Calculation'!I50</f>
        <v>0</v>
      </c>
      <c r="J43" s="839">
        <f>'Cash Flow'!H56-'NPLH COSR Calculation'!J50</f>
        <v>0</v>
      </c>
      <c r="K43" s="839">
        <f>'Cash Flow'!I56-'NPLH COSR Calculation'!K50</f>
        <v>0</v>
      </c>
      <c r="L43" s="839">
        <f>'Cash Flow'!J56-'NPLH COSR Calculation'!L50</f>
        <v>0</v>
      </c>
      <c r="M43" s="839">
        <f>'Cash Flow'!K56-'NPLH COSR Calculation'!M50</f>
        <v>0</v>
      </c>
      <c r="N43" s="839">
        <f>'Cash Flow'!L56-'NPLH COSR Calculation'!N50</f>
        <v>0</v>
      </c>
      <c r="O43" s="839">
        <f>'Cash Flow'!M56-'NPLH COSR Calculation'!O50</f>
        <v>0</v>
      </c>
      <c r="P43" s="839">
        <f>'Cash Flow'!N56-'NPLH COSR Calculation'!P50</f>
        <v>0</v>
      </c>
      <c r="Q43" s="839">
        <f>'Cash Flow'!O56-'NPLH COSR Calculation'!Q50</f>
        <v>0</v>
      </c>
      <c r="R43" s="839">
        <f>'Cash Flow'!P56-'NPLH COSR Calculation'!R50</f>
        <v>0</v>
      </c>
      <c r="S43" s="839">
        <f>'Cash Flow'!Q56-'NPLH COSR Calculation'!S50</f>
        <v>0</v>
      </c>
      <c r="T43" s="839">
        <f>'Cash Flow'!R56-'NPLH COSR Calculation'!T50</f>
        <v>0</v>
      </c>
      <c r="U43" s="839">
        <f>'Cash Flow'!S56-'NPLH COSR Calculation'!U50</f>
        <v>0</v>
      </c>
      <c r="V43" s="839">
        <f>'Cash Flow'!T56-'NPLH COSR Calculation'!V50</f>
        <v>0</v>
      </c>
      <c r="W43" s="839">
        <f>'Cash Flow'!U56-'NPLH COSR Calculation'!W50</f>
        <v>0</v>
      </c>
      <c r="X43" s="839">
        <f>'Cash Flow'!V56-'NPLH COSR Calculation'!X50</f>
        <v>0</v>
      </c>
      <c r="Y43" s="839">
        <f>'Cash Flow'!W56-'NPLH COSR Calculation'!Y50</f>
        <v>0</v>
      </c>
    </row>
    <row r="44" spans="1:25" s="836" customFormat="1" ht="13.5" customHeight="1">
      <c r="A44" s="2503" t="s">
        <v>1357</v>
      </c>
      <c r="B44" s="2503"/>
      <c r="C44" s="896">
        <f>'Operating '!D130</f>
        <v>0</v>
      </c>
      <c r="D44" s="897">
        <f>IF($C$6=0,0,(1-$D$9))</f>
        <v>0</v>
      </c>
      <c r="E44" s="898">
        <f>'Cash Flow'!C74</f>
        <v>3.5000000000000003E-2</v>
      </c>
      <c r="F44" s="660">
        <f>IF(C44=0,0,C44*D44)</f>
        <v>0</v>
      </c>
      <c r="G44" s="660">
        <f t="shared" ref="G44:Y44" si="21">F44*(1+$E44)</f>
        <v>0</v>
      </c>
      <c r="H44" s="660">
        <f t="shared" si="21"/>
        <v>0</v>
      </c>
      <c r="I44" s="660">
        <f t="shared" si="21"/>
        <v>0</v>
      </c>
      <c r="J44" s="660">
        <f t="shared" si="21"/>
        <v>0</v>
      </c>
      <c r="K44" s="660">
        <f t="shared" si="21"/>
        <v>0</v>
      </c>
      <c r="L44" s="660">
        <f t="shared" si="21"/>
        <v>0</v>
      </c>
      <c r="M44" s="660">
        <f t="shared" si="21"/>
        <v>0</v>
      </c>
      <c r="N44" s="660">
        <f t="shared" si="21"/>
        <v>0</v>
      </c>
      <c r="O44" s="660">
        <f t="shared" si="21"/>
        <v>0</v>
      </c>
      <c r="P44" s="660">
        <f t="shared" si="21"/>
        <v>0</v>
      </c>
      <c r="Q44" s="660">
        <f t="shared" si="21"/>
        <v>0</v>
      </c>
      <c r="R44" s="660">
        <f t="shared" si="21"/>
        <v>0</v>
      </c>
      <c r="S44" s="660">
        <f t="shared" si="21"/>
        <v>0</v>
      </c>
      <c r="T44" s="660">
        <f t="shared" si="21"/>
        <v>0</v>
      </c>
      <c r="U44" s="660">
        <f t="shared" si="21"/>
        <v>0</v>
      </c>
      <c r="V44" s="660">
        <f t="shared" si="21"/>
        <v>0</v>
      </c>
      <c r="W44" s="660">
        <f t="shared" si="21"/>
        <v>0</v>
      </c>
      <c r="X44" s="660">
        <f t="shared" si="21"/>
        <v>0</v>
      </c>
      <c r="Y44" s="660">
        <f t="shared" si="21"/>
        <v>0</v>
      </c>
    </row>
    <row r="45" spans="1:25" s="675" customFormat="1" ht="13.5" customHeight="1">
      <c r="A45" s="2504" t="s">
        <v>1356</v>
      </c>
      <c r="B45" s="2504"/>
      <c r="C45" s="2504"/>
      <c r="D45" s="2504"/>
      <c r="E45" s="2505"/>
      <c r="F45" s="839">
        <f t="shared" ref="F45:Y45" si="22">F43-F44</f>
        <v>0</v>
      </c>
      <c r="G45" s="839">
        <f t="shared" si="22"/>
        <v>0</v>
      </c>
      <c r="H45" s="839">
        <f t="shared" si="22"/>
        <v>0</v>
      </c>
      <c r="I45" s="839">
        <f t="shared" si="22"/>
        <v>0</v>
      </c>
      <c r="J45" s="839">
        <f t="shared" si="22"/>
        <v>0</v>
      </c>
      <c r="K45" s="839">
        <f t="shared" si="22"/>
        <v>0</v>
      </c>
      <c r="L45" s="839">
        <f t="shared" si="22"/>
        <v>0</v>
      </c>
      <c r="M45" s="839">
        <f t="shared" si="22"/>
        <v>0</v>
      </c>
      <c r="N45" s="839">
        <f t="shared" si="22"/>
        <v>0</v>
      </c>
      <c r="O45" s="839">
        <f t="shared" si="22"/>
        <v>0</v>
      </c>
      <c r="P45" s="839">
        <f t="shared" si="22"/>
        <v>0</v>
      </c>
      <c r="Q45" s="839">
        <f t="shared" si="22"/>
        <v>0</v>
      </c>
      <c r="R45" s="839">
        <f t="shared" si="22"/>
        <v>0</v>
      </c>
      <c r="S45" s="839">
        <f t="shared" si="22"/>
        <v>0</v>
      </c>
      <c r="T45" s="839">
        <f t="shared" si="22"/>
        <v>0</v>
      </c>
      <c r="U45" s="839">
        <f t="shared" si="22"/>
        <v>0</v>
      </c>
      <c r="V45" s="839">
        <f t="shared" si="22"/>
        <v>0</v>
      </c>
      <c r="W45" s="839">
        <f t="shared" si="22"/>
        <v>0</v>
      </c>
      <c r="X45" s="839">
        <f t="shared" si="22"/>
        <v>0</v>
      </c>
      <c r="Y45" s="839">
        <f t="shared" si="22"/>
        <v>0</v>
      </c>
    </row>
    <row r="46" spans="1:25" s="836" customFormat="1" ht="13.5" customHeight="1">
      <c r="A46" s="2502" t="s">
        <v>1349</v>
      </c>
      <c r="B46" s="2502"/>
      <c r="C46" s="896">
        <f>'Operating '!D130</f>
        <v>0</v>
      </c>
      <c r="D46" s="897">
        <f>$D$9</f>
        <v>0</v>
      </c>
      <c r="E46" s="898">
        <f>'Cash Flow'!C74</f>
        <v>3.5000000000000003E-2</v>
      </c>
      <c r="F46" s="660">
        <f>IF(C46=0,0,C46*D46)</f>
        <v>0</v>
      </c>
      <c r="G46" s="660">
        <f t="shared" ref="G46:Y46" si="23">F46*(1+$E46)</f>
        <v>0</v>
      </c>
      <c r="H46" s="660">
        <f t="shared" si="23"/>
        <v>0</v>
      </c>
      <c r="I46" s="660">
        <f t="shared" si="23"/>
        <v>0</v>
      </c>
      <c r="J46" s="660">
        <f t="shared" si="23"/>
        <v>0</v>
      </c>
      <c r="K46" s="660">
        <f t="shared" si="23"/>
        <v>0</v>
      </c>
      <c r="L46" s="660">
        <f t="shared" si="23"/>
        <v>0</v>
      </c>
      <c r="M46" s="660">
        <f t="shared" si="23"/>
        <v>0</v>
      </c>
      <c r="N46" s="660">
        <f t="shared" si="23"/>
        <v>0</v>
      </c>
      <c r="O46" s="660">
        <f t="shared" si="23"/>
        <v>0</v>
      </c>
      <c r="P46" s="660">
        <f t="shared" si="23"/>
        <v>0</v>
      </c>
      <c r="Q46" s="660">
        <f t="shared" si="23"/>
        <v>0</v>
      </c>
      <c r="R46" s="660">
        <f t="shared" si="23"/>
        <v>0</v>
      </c>
      <c r="S46" s="660">
        <f t="shared" si="23"/>
        <v>0</v>
      </c>
      <c r="T46" s="660">
        <f t="shared" si="23"/>
        <v>0</v>
      </c>
      <c r="U46" s="660">
        <f t="shared" si="23"/>
        <v>0</v>
      </c>
      <c r="V46" s="660">
        <f t="shared" si="23"/>
        <v>0</v>
      </c>
      <c r="W46" s="660">
        <f t="shared" si="23"/>
        <v>0</v>
      </c>
      <c r="X46" s="660">
        <f t="shared" si="23"/>
        <v>0</v>
      </c>
      <c r="Y46" s="660">
        <f t="shared" si="23"/>
        <v>0</v>
      </c>
    </row>
    <row r="47" spans="1:25" s="38" customFormat="1" ht="13.5" customHeight="1">
      <c r="A47" s="2496" t="s">
        <v>1358</v>
      </c>
      <c r="B47" s="2496"/>
      <c r="C47" s="2496"/>
      <c r="D47" s="2496"/>
      <c r="E47" s="2497"/>
      <c r="F47" s="660">
        <f t="shared" ref="F47:Y47" si="24">IF(F45&gt;=F46,F46,IF(F45&gt;0,F45,0))</f>
        <v>0</v>
      </c>
      <c r="G47" s="660">
        <f t="shared" si="24"/>
        <v>0</v>
      </c>
      <c r="H47" s="660">
        <f t="shared" si="24"/>
        <v>0</v>
      </c>
      <c r="I47" s="660">
        <f t="shared" si="24"/>
        <v>0</v>
      </c>
      <c r="J47" s="660">
        <f t="shared" si="24"/>
        <v>0</v>
      </c>
      <c r="K47" s="660">
        <f t="shared" si="24"/>
        <v>0</v>
      </c>
      <c r="L47" s="660">
        <f t="shared" si="24"/>
        <v>0</v>
      </c>
      <c r="M47" s="660">
        <f t="shared" si="24"/>
        <v>0</v>
      </c>
      <c r="N47" s="660">
        <f t="shared" si="24"/>
        <v>0</v>
      </c>
      <c r="O47" s="660">
        <f t="shared" si="24"/>
        <v>0</v>
      </c>
      <c r="P47" s="660">
        <f t="shared" si="24"/>
        <v>0</v>
      </c>
      <c r="Q47" s="660">
        <f t="shared" si="24"/>
        <v>0</v>
      </c>
      <c r="R47" s="660">
        <f t="shared" si="24"/>
        <v>0</v>
      </c>
      <c r="S47" s="660">
        <f t="shared" si="24"/>
        <v>0</v>
      </c>
      <c r="T47" s="660">
        <f t="shared" si="24"/>
        <v>0</v>
      </c>
      <c r="U47" s="660">
        <f t="shared" si="24"/>
        <v>0</v>
      </c>
      <c r="V47" s="660">
        <f t="shared" si="24"/>
        <v>0</v>
      </c>
      <c r="W47" s="660">
        <f t="shared" si="24"/>
        <v>0</v>
      </c>
      <c r="X47" s="660">
        <f t="shared" si="24"/>
        <v>0</v>
      </c>
      <c r="Y47" s="660">
        <f t="shared" si="24"/>
        <v>0</v>
      </c>
    </row>
    <row r="48" spans="1:25" s="890" customFormat="1" ht="13.5" customHeight="1">
      <c r="A48" s="2503" t="s">
        <v>1359</v>
      </c>
      <c r="B48" s="2503"/>
      <c r="C48" s="2503"/>
      <c r="D48" s="2503"/>
      <c r="E48" s="2554"/>
      <c r="F48" s="889">
        <f>F45-F47</f>
        <v>0</v>
      </c>
      <c r="G48" s="889">
        <f t="shared" ref="G48:Y48" si="25">G45-G47</f>
        <v>0</v>
      </c>
      <c r="H48" s="889">
        <f t="shared" si="25"/>
        <v>0</v>
      </c>
      <c r="I48" s="889">
        <f t="shared" si="25"/>
        <v>0</v>
      </c>
      <c r="J48" s="889">
        <f t="shared" si="25"/>
        <v>0</v>
      </c>
      <c r="K48" s="889">
        <f t="shared" si="25"/>
        <v>0</v>
      </c>
      <c r="L48" s="889">
        <f t="shared" si="25"/>
        <v>0</v>
      </c>
      <c r="M48" s="889">
        <f t="shared" si="25"/>
        <v>0</v>
      </c>
      <c r="N48" s="889">
        <f t="shared" si="25"/>
        <v>0</v>
      </c>
      <c r="O48" s="889">
        <f t="shared" si="25"/>
        <v>0</v>
      </c>
      <c r="P48" s="889">
        <f t="shared" si="25"/>
        <v>0</v>
      </c>
      <c r="Q48" s="889">
        <f t="shared" si="25"/>
        <v>0</v>
      </c>
      <c r="R48" s="889">
        <f t="shared" si="25"/>
        <v>0</v>
      </c>
      <c r="S48" s="889">
        <f t="shared" si="25"/>
        <v>0</v>
      </c>
      <c r="T48" s="889">
        <f t="shared" si="25"/>
        <v>0</v>
      </c>
      <c r="U48" s="889">
        <f t="shared" si="25"/>
        <v>0</v>
      </c>
      <c r="V48" s="889">
        <f t="shared" si="25"/>
        <v>0</v>
      </c>
      <c r="W48" s="889">
        <f t="shared" si="25"/>
        <v>0</v>
      </c>
      <c r="X48" s="889">
        <f t="shared" si="25"/>
        <v>0</v>
      </c>
      <c r="Y48" s="889">
        <f t="shared" si="25"/>
        <v>0</v>
      </c>
    </row>
    <row r="49" spans="1:25" s="74" customFormat="1" ht="13.5" customHeight="1">
      <c r="A49" s="937" t="s">
        <v>1351</v>
      </c>
      <c r="B49" s="738"/>
      <c r="C49" s="749"/>
      <c r="D49" s="750"/>
      <c r="E49" s="751"/>
      <c r="F49" s="751"/>
      <c r="G49" s="751"/>
      <c r="H49" s="751"/>
      <c r="I49" s="751"/>
      <c r="J49" s="751"/>
      <c r="K49" s="751"/>
      <c r="L49" s="751"/>
      <c r="M49" s="751"/>
      <c r="N49" s="751"/>
      <c r="O49" s="751"/>
      <c r="P49" s="751"/>
      <c r="Q49" s="751"/>
      <c r="R49" s="751"/>
      <c r="S49" s="752"/>
      <c r="T49" s="752"/>
      <c r="U49" s="752"/>
      <c r="V49" s="752"/>
      <c r="W49" s="752"/>
      <c r="X49" s="752"/>
      <c r="Y49" s="752"/>
    </row>
    <row r="50" spans="1:25" s="675" customFormat="1" ht="13.5" customHeight="1">
      <c r="A50" s="2581" t="s">
        <v>1361</v>
      </c>
      <c r="B50" s="2582"/>
      <c r="C50" s="2582"/>
      <c r="D50" s="2582"/>
      <c r="E50" s="2583"/>
      <c r="F50" s="839">
        <f>F41</f>
        <v>0</v>
      </c>
      <c r="G50" s="839">
        <f t="shared" ref="G50:Y50" si="26">G41</f>
        <v>0</v>
      </c>
      <c r="H50" s="839">
        <f t="shared" si="26"/>
        <v>0</v>
      </c>
      <c r="I50" s="839">
        <f t="shared" si="26"/>
        <v>0</v>
      </c>
      <c r="J50" s="839">
        <f t="shared" si="26"/>
        <v>0</v>
      </c>
      <c r="K50" s="839">
        <f t="shared" si="26"/>
        <v>0</v>
      </c>
      <c r="L50" s="839">
        <f t="shared" si="26"/>
        <v>0</v>
      </c>
      <c r="M50" s="839">
        <f t="shared" si="26"/>
        <v>0</v>
      </c>
      <c r="N50" s="839">
        <f t="shared" si="26"/>
        <v>0</v>
      </c>
      <c r="O50" s="839">
        <f t="shared" si="26"/>
        <v>0</v>
      </c>
      <c r="P50" s="839">
        <f t="shared" si="26"/>
        <v>0</v>
      </c>
      <c r="Q50" s="839">
        <f t="shared" si="26"/>
        <v>0</v>
      </c>
      <c r="R50" s="839">
        <f t="shared" si="26"/>
        <v>0</v>
      </c>
      <c r="S50" s="839">
        <f t="shared" si="26"/>
        <v>0</v>
      </c>
      <c r="T50" s="839">
        <f t="shared" si="26"/>
        <v>0</v>
      </c>
      <c r="U50" s="839">
        <f t="shared" si="26"/>
        <v>0</v>
      </c>
      <c r="V50" s="839">
        <f t="shared" si="26"/>
        <v>0</v>
      </c>
      <c r="W50" s="839">
        <f t="shared" si="26"/>
        <v>0</v>
      </c>
      <c r="X50" s="839">
        <f t="shared" si="26"/>
        <v>0</v>
      </c>
      <c r="Y50" s="839">
        <f t="shared" si="26"/>
        <v>0</v>
      </c>
    </row>
    <row r="51" spans="1:25" s="38" customFormat="1" ht="13.5" customHeight="1">
      <c r="A51" s="2564" t="s">
        <v>1350</v>
      </c>
      <c r="B51" s="2564"/>
      <c r="C51" s="2564"/>
      <c r="D51" s="2564"/>
      <c r="E51" s="2565"/>
      <c r="F51" s="660">
        <f t="shared" ref="F51:Y51" si="27">F46-F47</f>
        <v>0</v>
      </c>
      <c r="G51" s="660">
        <f t="shared" si="27"/>
        <v>0</v>
      </c>
      <c r="H51" s="660">
        <f t="shared" si="27"/>
        <v>0</v>
      </c>
      <c r="I51" s="660">
        <f t="shared" si="27"/>
        <v>0</v>
      </c>
      <c r="J51" s="660">
        <f t="shared" si="27"/>
        <v>0</v>
      </c>
      <c r="K51" s="660">
        <f t="shared" si="27"/>
        <v>0</v>
      </c>
      <c r="L51" s="660">
        <f t="shared" si="27"/>
        <v>0</v>
      </c>
      <c r="M51" s="660">
        <f t="shared" si="27"/>
        <v>0</v>
      </c>
      <c r="N51" s="660">
        <f t="shared" si="27"/>
        <v>0</v>
      </c>
      <c r="O51" s="660">
        <f t="shared" si="27"/>
        <v>0</v>
      </c>
      <c r="P51" s="660">
        <f t="shared" si="27"/>
        <v>0</v>
      </c>
      <c r="Q51" s="660">
        <f t="shared" si="27"/>
        <v>0</v>
      </c>
      <c r="R51" s="660">
        <f t="shared" si="27"/>
        <v>0</v>
      </c>
      <c r="S51" s="660">
        <f t="shared" si="27"/>
        <v>0</v>
      </c>
      <c r="T51" s="660">
        <f t="shared" si="27"/>
        <v>0</v>
      </c>
      <c r="U51" s="660">
        <f t="shared" si="27"/>
        <v>0</v>
      </c>
      <c r="V51" s="660">
        <f t="shared" si="27"/>
        <v>0</v>
      </c>
      <c r="W51" s="660">
        <f t="shared" si="27"/>
        <v>0</v>
      </c>
      <c r="X51" s="660">
        <f t="shared" si="27"/>
        <v>0</v>
      </c>
      <c r="Y51" s="660">
        <f t="shared" si="27"/>
        <v>0</v>
      </c>
    </row>
    <row r="52" spans="1:25" s="38" customFormat="1" ht="13.5" customHeight="1">
      <c r="A52" s="2555" t="s">
        <v>1383</v>
      </c>
      <c r="B52" s="2556"/>
      <c r="C52" s="2556"/>
      <c r="D52" s="2556"/>
      <c r="E52" s="2557"/>
      <c r="F52" s="844">
        <f t="shared" ref="F52:Y52" si="28">IF(F50-F51&lt;0,MIN($G$6,-(F50-F51)),0)</f>
        <v>0</v>
      </c>
      <c r="G52" s="844">
        <f t="shared" si="28"/>
        <v>0</v>
      </c>
      <c r="H52" s="844">
        <f t="shared" si="28"/>
        <v>0</v>
      </c>
      <c r="I52" s="844">
        <f t="shared" si="28"/>
        <v>0</v>
      </c>
      <c r="J52" s="844">
        <f t="shared" si="28"/>
        <v>0</v>
      </c>
      <c r="K52" s="844">
        <f t="shared" si="28"/>
        <v>0</v>
      </c>
      <c r="L52" s="844">
        <f t="shared" si="28"/>
        <v>0</v>
      </c>
      <c r="M52" s="844">
        <f t="shared" si="28"/>
        <v>0</v>
      </c>
      <c r="N52" s="844">
        <f t="shared" si="28"/>
        <v>0</v>
      </c>
      <c r="O52" s="844">
        <f t="shared" si="28"/>
        <v>0</v>
      </c>
      <c r="P52" s="844">
        <f t="shared" si="28"/>
        <v>0</v>
      </c>
      <c r="Q52" s="844">
        <f t="shared" si="28"/>
        <v>0</v>
      </c>
      <c r="R52" s="844">
        <f t="shared" si="28"/>
        <v>0</v>
      </c>
      <c r="S52" s="844">
        <f t="shared" si="28"/>
        <v>0</v>
      </c>
      <c r="T52" s="844">
        <f t="shared" si="28"/>
        <v>0</v>
      </c>
      <c r="U52" s="844">
        <f t="shared" si="28"/>
        <v>0</v>
      </c>
      <c r="V52" s="844">
        <f t="shared" si="28"/>
        <v>0</v>
      </c>
      <c r="W52" s="844">
        <f t="shared" si="28"/>
        <v>0</v>
      </c>
      <c r="X52" s="844">
        <f t="shared" si="28"/>
        <v>0</v>
      </c>
      <c r="Y52" s="891">
        <f t="shared" si="28"/>
        <v>0</v>
      </c>
    </row>
    <row r="53" spans="1:25" s="38" customFormat="1" ht="13.5" customHeight="1">
      <c r="A53" s="2575" t="s">
        <v>1384</v>
      </c>
      <c r="B53" s="2576"/>
      <c r="C53" s="2576"/>
      <c r="D53" s="2576"/>
      <c r="E53" s="2577"/>
      <c r="F53" s="660">
        <f>F52</f>
        <v>0</v>
      </c>
      <c r="G53" s="660">
        <f>F53+G52</f>
        <v>0</v>
      </c>
      <c r="H53" s="660">
        <f t="shared" ref="H53:Y53" si="29">G53+H52</f>
        <v>0</v>
      </c>
      <c r="I53" s="660">
        <f t="shared" si="29"/>
        <v>0</v>
      </c>
      <c r="J53" s="660">
        <f t="shared" si="29"/>
        <v>0</v>
      </c>
      <c r="K53" s="660">
        <f t="shared" si="29"/>
        <v>0</v>
      </c>
      <c r="L53" s="660">
        <f t="shared" si="29"/>
        <v>0</v>
      </c>
      <c r="M53" s="660">
        <f t="shared" si="29"/>
        <v>0</v>
      </c>
      <c r="N53" s="660">
        <f t="shared" si="29"/>
        <v>0</v>
      </c>
      <c r="O53" s="660">
        <f t="shared" si="29"/>
        <v>0</v>
      </c>
      <c r="P53" s="660">
        <f t="shared" si="29"/>
        <v>0</v>
      </c>
      <c r="Q53" s="660">
        <f t="shared" si="29"/>
        <v>0</v>
      </c>
      <c r="R53" s="660">
        <f t="shared" si="29"/>
        <v>0</v>
      </c>
      <c r="S53" s="660">
        <f t="shared" si="29"/>
        <v>0</v>
      </c>
      <c r="T53" s="660">
        <f t="shared" si="29"/>
        <v>0</v>
      </c>
      <c r="U53" s="660">
        <f t="shared" si="29"/>
        <v>0</v>
      </c>
      <c r="V53" s="660">
        <f t="shared" si="29"/>
        <v>0</v>
      </c>
      <c r="W53" s="660">
        <f t="shared" si="29"/>
        <v>0</v>
      </c>
      <c r="X53" s="660">
        <f t="shared" si="29"/>
        <v>0</v>
      </c>
      <c r="Y53" s="892">
        <f t="shared" si="29"/>
        <v>0</v>
      </c>
    </row>
    <row r="54" spans="1:25" s="38" customFormat="1" ht="13.5" customHeight="1">
      <c r="A54" s="2575" t="s">
        <v>1385</v>
      </c>
      <c r="B54" s="2576"/>
      <c r="C54" s="2576"/>
      <c r="D54" s="2576"/>
      <c r="E54" s="2577"/>
      <c r="F54" s="660">
        <f t="shared" ref="F54:Y54" si="30">F50+F52</f>
        <v>0</v>
      </c>
      <c r="G54" s="660">
        <f t="shared" si="30"/>
        <v>0</v>
      </c>
      <c r="H54" s="660">
        <f t="shared" si="30"/>
        <v>0</v>
      </c>
      <c r="I54" s="660">
        <f t="shared" si="30"/>
        <v>0</v>
      </c>
      <c r="J54" s="660">
        <f t="shared" si="30"/>
        <v>0</v>
      </c>
      <c r="K54" s="660">
        <f t="shared" si="30"/>
        <v>0</v>
      </c>
      <c r="L54" s="660">
        <f t="shared" si="30"/>
        <v>0</v>
      </c>
      <c r="M54" s="660">
        <f t="shared" si="30"/>
        <v>0</v>
      </c>
      <c r="N54" s="660">
        <f t="shared" si="30"/>
        <v>0</v>
      </c>
      <c r="O54" s="660">
        <f t="shared" si="30"/>
        <v>0</v>
      </c>
      <c r="P54" s="660">
        <f t="shared" si="30"/>
        <v>0</v>
      </c>
      <c r="Q54" s="660">
        <f t="shared" si="30"/>
        <v>0</v>
      </c>
      <c r="R54" s="660">
        <f t="shared" si="30"/>
        <v>0</v>
      </c>
      <c r="S54" s="660">
        <f t="shared" si="30"/>
        <v>0</v>
      </c>
      <c r="T54" s="660">
        <f t="shared" si="30"/>
        <v>0</v>
      </c>
      <c r="U54" s="660">
        <f t="shared" si="30"/>
        <v>0</v>
      </c>
      <c r="V54" s="660">
        <f t="shared" si="30"/>
        <v>0</v>
      </c>
      <c r="W54" s="660">
        <f t="shared" si="30"/>
        <v>0</v>
      </c>
      <c r="X54" s="660">
        <f t="shared" si="30"/>
        <v>0</v>
      </c>
      <c r="Y54" s="892">
        <f t="shared" si="30"/>
        <v>0</v>
      </c>
    </row>
    <row r="55" spans="1:25" s="38" customFormat="1" ht="13.5" customHeight="1">
      <c r="A55" s="2566" t="s">
        <v>1355</v>
      </c>
      <c r="B55" s="2567"/>
      <c r="C55" s="2567"/>
      <c r="D55" s="2567"/>
      <c r="E55" s="2568"/>
      <c r="F55" s="660">
        <f t="shared" ref="F55:Y55" si="31">IF(F54&gt;=F51,F51,0)</f>
        <v>0</v>
      </c>
      <c r="G55" s="660">
        <f t="shared" si="31"/>
        <v>0</v>
      </c>
      <c r="H55" s="660">
        <f t="shared" si="31"/>
        <v>0</v>
      </c>
      <c r="I55" s="660">
        <f t="shared" si="31"/>
        <v>0</v>
      </c>
      <c r="J55" s="660">
        <f t="shared" si="31"/>
        <v>0</v>
      </c>
      <c r="K55" s="660">
        <f t="shared" si="31"/>
        <v>0</v>
      </c>
      <c r="L55" s="660">
        <f t="shared" si="31"/>
        <v>0</v>
      </c>
      <c r="M55" s="660">
        <f t="shared" si="31"/>
        <v>0</v>
      </c>
      <c r="N55" s="660">
        <f t="shared" si="31"/>
        <v>0</v>
      </c>
      <c r="O55" s="660">
        <f t="shared" si="31"/>
        <v>0</v>
      </c>
      <c r="P55" s="660">
        <f t="shared" si="31"/>
        <v>0</v>
      </c>
      <c r="Q55" s="660">
        <f t="shared" si="31"/>
        <v>0</v>
      </c>
      <c r="R55" s="660">
        <f t="shared" si="31"/>
        <v>0</v>
      </c>
      <c r="S55" s="660">
        <f t="shared" si="31"/>
        <v>0</v>
      </c>
      <c r="T55" s="660">
        <f t="shared" si="31"/>
        <v>0</v>
      </c>
      <c r="U55" s="660">
        <f t="shared" si="31"/>
        <v>0</v>
      </c>
      <c r="V55" s="660">
        <f t="shared" si="31"/>
        <v>0</v>
      </c>
      <c r="W55" s="660">
        <f t="shared" si="31"/>
        <v>0</v>
      </c>
      <c r="X55" s="660">
        <f t="shared" si="31"/>
        <v>0</v>
      </c>
      <c r="Y55" s="892">
        <f t="shared" si="31"/>
        <v>0</v>
      </c>
    </row>
    <row r="56" spans="1:25" s="888" customFormat="1" ht="13.5" customHeight="1">
      <c r="A56" s="2558" t="s">
        <v>1356</v>
      </c>
      <c r="B56" s="2559"/>
      <c r="C56" s="2559"/>
      <c r="D56" s="2559"/>
      <c r="E56" s="2560"/>
      <c r="F56" s="887">
        <f>F54-F55</f>
        <v>0</v>
      </c>
      <c r="G56" s="887">
        <f t="shared" ref="G56:Y56" si="32">G54-G55</f>
        <v>0</v>
      </c>
      <c r="H56" s="887">
        <f t="shared" si="32"/>
        <v>0</v>
      </c>
      <c r="I56" s="887">
        <f t="shared" si="32"/>
        <v>0</v>
      </c>
      <c r="J56" s="887">
        <f t="shared" si="32"/>
        <v>0</v>
      </c>
      <c r="K56" s="887">
        <f t="shared" si="32"/>
        <v>0</v>
      </c>
      <c r="L56" s="887">
        <f t="shared" si="32"/>
        <v>0</v>
      </c>
      <c r="M56" s="887">
        <f t="shared" si="32"/>
        <v>0</v>
      </c>
      <c r="N56" s="887">
        <f t="shared" si="32"/>
        <v>0</v>
      </c>
      <c r="O56" s="887">
        <f t="shared" si="32"/>
        <v>0</v>
      </c>
      <c r="P56" s="887">
        <f t="shared" si="32"/>
        <v>0</v>
      </c>
      <c r="Q56" s="887">
        <f t="shared" si="32"/>
        <v>0</v>
      </c>
      <c r="R56" s="887">
        <f t="shared" si="32"/>
        <v>0</v>
      </c>
      <c r="S56" s="887">
        <f t="shared" si="32"/>
        <v>0</v>
      </c>
      <c r="T56" s="887">
        <f t="shared" si="32"/>
        <v>0</v>
      </c>
      <c r="U56" s="887">
        <f t="shared" si="32"/>
        <v>0</v>
      </c>
      <c r="V56" s="887">
        <f t="shared" si="32"/>
        <v>0</v>
      </c>
      <c r="W56" s="887">
        <f t="shared" si="32"/>
        <v>0</v>
      </c>
      <c r="X56" s="887">
        <f t="shared" si="32"/>
        <v>0</v>
      </c>
      <c r="Y56" s="895">
        <f t="shared" si="32"/>
        <v>0</v>
      </c>
    </row>
    <row r="57" spans="1:25" s="38" customFormat="1" ht="13.5" customHeight="1">
      <c r="A57" s="2578" t="s">
        <v>1386</v>
      </c>
      <c r="B57" s="2579"/>
      <c r="C57" s="2579"/>
      <c r="D57" s="2579"/>
      <c r="E57" s="2580"/>
      <c r="F57" s="844">
        <f>IF(F50-F51&lt;0,MIN($G$7,-(F50-F51)),0)</f>
        <v>0</v>
      </c>
      <c r="G57" s="844">
        <f t="shared" ref="G57:Y57" si="33">IF(G50-G51&lt;0,IF(MIN($G$3,$G$5)-F58&lt;MIN($G$7,-(G50-G51)),MIN($G$3,$G$5)-F58,MIN($G$7,-(G50-G51))),0)</f>
        <v>0</v>
      </c>
      <c r="H57" s="844">
        <f t="shared" si="33"/>
        <v>0</v>
      </c>
      <c r="I57" s="844">
        <f t="shared" si="33"/>
        <v>0</v>
      </c>
      <c r="J57" s="844">
        <f t="shared" si="33"/>
        <v>0</v>
      </c>
      <c r="K57" s="844">
        <f t="shared" si="33"/>
        <v>0</v>
      </c>
      <c r="L57" s="844">
        <f t="shared" si="33"/>
        <v>0</v>
      </c>
      <c r="M57" s="844">
        <f t="shared" si="33"/>
        <v>0</v>
      </c>
      <c r="N57" s="844">
        <f t="shared" si="33"/>
        <v>0</v>
      </c>
      <c r="O57" s="844">
        <f t="shared" si="33"/>
        <v>0</v>
      </c>
      <c r="P57" s="844">
        <f t="shared" si="33"/>
        <v>0</v>
      </c>
      <c r="Q57" s="844">
        <f t="shared" si="33"/>
        <v>0</v>
      </c>
      <c r="R57" s="844">
        <f t="shared" si="33"/>
        <v>0</v>
      </c>
      <c r="S57" s="844">
        <f t="shared" si="33"/>
        <v>0</v>
      </c>
      <c r="T57" s="844">
        <f t="shared" si="33"/>
        <v>0</v>
      </c>
      <c r="U57" s="844">
        <f t="shared" si="33"/>
        <v>0</v>
      </c>
      <c r="V57" s="844">
        <f t="shared" si="33"/>
        <v>0</v>
      </c>
      <c r="W57" s="844">
        <f t="shared" si="33"/>
        <v>0</v>
      </c>
      <c r="X57" s="844">
        <f t="shared" si="33"/>
        <v>0</v>
      </c>
      <c r="Y57" s="891">
        <f t="shared" si="33"/>
        <v>0</v>
      </c>
    </row>
    <row r="58" spans="1:25" s="38" customFormat="1" ht="13.5" customHeight="1">
      <c r="A58" s="2572" t="s">
        <v>1384</v>
      </c>
      <c r="B58" s="2573"/>
      <c r="C58" s="2573"/>
      <c r="D58" s="2573"/>
      <c r="E58" s="2574"/>
      <c r="F58" s="660">
        <f>F57</f>
        <v>0</v>
      </c>
      <c r="G58" s="660">
        <f t="shared" ref="G58:Y58" si="34">F58+G57</f>
        <v>0</v>
      </c>
      <c r="H58" s="660">
        <f t="shared" si="34"/>
        <v>0</v>
      </c>
      <c r="I58" s="660">
        <f t="shared" si="34"/>
        <v>0</v>
      </c>
      <c r="J58" s="660">
        <f t="shared" si="34"/>
        <v>0</v>
      </c>
      <c r="K58" s="660">
        <f t="shared" si="34"/>
        <v>0</v>
      </c>
      <c r="L58" s="660">
        <f t="shared" si="34"/>
        <v>0</v>
      </c>
      <c r="M58" s="660">
        <f t="shared" si="34"/>
        <v>0</v>
      </c>
      <c r="N58" s="660">
        <f t="shared" si="34"/>
        <v>0</v>
      </c>
      <c r="O58" s="660">
        <f t="shared" si="34"/>
        <v>0</v>
      </c>
      <c r="P58" s="660">
        <f t="shared" si="34"/>
        <v>0</v>
      </c>
      <c r="Q58" s="660">
        <f t="shared" si="34"/>
        <v>0</v>
      </c>
      <c r="R58" s="660">
        <f t="shared" si="34"/>
        <v>0</v>
      </c>
      <c r="S58" s="660">
        <f t="shared" si="34"/>
        <v>0</v>
      </c>
      <c r="T58" s="660">
        <f t="shared" si="34"/>
        <v>0</v>
      </c>
      <c r="U58" s="660">
        <f t="shared" si="34"/>
        <v>0</v>
      </c>
      <c r="V58" s="660">
        <f t="shared" si="34"/>
        <v>0</v>
      </c>
      <c r="W58" s="660">
        <f t="shared" si="34"/>
        <v>0</v>
      </c>
      <c r="X58" s="660">
        <f t="shared" si="34"/>
        <v>0</v>
      </c>
      <c r="Y58" s="892">
        <f t="shared" si="34"/>
        <v>0</v>
      </c>
    </row>
    <row r="59" spans="1:25" s="38" customFormat="1" ht="13.5" customHeight="1">
      <c r="A59" s="2572" t="s">
        <v>1385</v>
      </c>
      <c r="B59" s="2573"/>
      <c r="C59" s="2573"/>
      <c r="D59" s="2573"/>
      <c r="E59" s="2574"/>
      <c r="F59" s="660">
        <f t="shared" ref="F59:Y59" si="35">F50+F57</f>
        <v>0</v>
      </c>
      <c r="G59" s="660">
        <f t="shared" si="35"/>
        <v>0</v>
      </c>
      <c r="H59" s="660">
        <f t="shared" si="35"/>
        <v>0</v>
      </c>
      <c r="I59" s="660">
        <f t="shared" si="35"/>
        <v>0</v>
      </c>
      <c r="J59" s="660">
        <f t="shared" si="35"/>
        <v>0</v>
      </c>
      <c r="K59" s="660">
        <f t="shared" si="35"/>
        <v>0</v>
      </c>
      <c r="L59" s="660">
        <f t="shared" si="35"/>
        <v>0</v>
      </c>
      <c r="M59" s="660">
        <f t="shared" si="35"/>
        <v>0</v>
      </c>
      <c r="N59" s="660">
        <f t="shared" si="35"/>
        <v>0</v>
      </c>
      <c r="O59" s="660">
        <f t="shared" si="35"/>
        <v>0</v>
      </c>
      <c r="P59" s="660">
        <f t="shared" si="35"/>
        <v>0</v>
      </c>
      <c r="Q59" s="660">
        <f t="shared" si="35"/>
        <v>0</v>
      </c>
      <c r="R59" s="660">
        <f t="shared" si="35"/>
        <v>0</v>
      </c>
      <c r="S59" s="660">
        <f t="shared" si="35"/>
        <v>0</v>
      </c>
      <c r="T59" s="660">
        <f t="shared" si="35"/>
        <v>0</v>
      </c>
      <c r="U59" s="660">
        <f t="shared" si="35"/>
        <v>0</v>
      </c>
      <c r="V59" s="660">
        <f t="shared" si="35"/>
        <v>0</v>
      </c>
      <c r="W59" s="660">
        <f t="shared" si="35"/>
        <v>0</v>
      </c>
      <c r="X59" s="660">
        <f t="shared" si="35"/>
        <v>0</v>
      </c>
      <c r="Y59" s="892">
        <f t="shared" si="35"/>
        <v>0</v>
      </c>
    </row>
    <row r="60" spans="1:25" s="38" customFormat="1" ht="13.5" customHeight="1">
      <c r="A60" s="2569" t="s">
        <v>1355</v>
      </c>
      <c r="B60" s="2570"/>
      <c r="C60" s="2570"/>
      <c r="D60" s="2570"/>
      <c r="E60" s="2571"/>
      <c r="F60" s="660">
        <f t="shared" ref="F60:Y60" si="36">IF(F59&gt;=F51,F51,0)</f>
        <v>0</v>
      </c>
      <c r="G60" s="660">
        <f t="shared" si="36"/>
        <v>0</v>
      </c>
      <c r="H60" s="660">
        <f t="shared" si="36"/>
        <v>0</v>
      </c>
      <c r="I60" s="660">
        <f t="shared" si="36"/>
        <v>0</v>
      </c>
      <c r="J60" s="660">
        <f t="shared" si="36"/>
        <v>0</v>
      </c>
      <c r="K60" s="660">
        <f t="shared" si="36"/>
        <v>0</v>
      </c>
      <c r="L60" s="660">
        <f t="shared" si="36"/>
        <v>0</v>
      </c>
      <c r="M60" s="660">
        <f t="shared" si="36"/>
        <v>0</v>
      </c>
      <c r="N60" s="660">
        <f t="shared" si="36"/>
        <v>0</v>
      </c>
      <c r="O60" s="660">
        <f t="shared" si="36"/>
        <v>0</v>
      </c>
      <c r="P60" s="660">
        <f t="shared" si="36"/>
        <v>0</v>
      </c>
      <c r="Q60" s="660">
        <f t="shared" si="36"/>
        <v>0</v>
      </c>
      <c r="R60" s="660">
        <f t="shared" si="36"/>
        <v>0</v>
      </c>
      <c r="S60" s="660">
        <f t="shared" si="36"/>
        <v>0</v>
      </c>
      <c r="T60" s="660">
        <f t="shared" si="36"/>
        <v>0</v>
      </c>
      <c r="U60" s="660">
        <f t="shared" si="36"/>
        <v>0</v>
      </c>
      <c r="V60" s="660">
        <f t="shared" si="36"/>
        <v>0</v>
      </c>
      <c r="W60" s="660">
        <f t="shared" si="36"/>
        <v>0</v>
      </c>
      <c r="X60" s="660">
        <f t="shared" si="36"/>
        <v>0</v>
      </c>
      <c r="Y60" s="892">
        <f t="shared" si="36"/>
        <v>0</v>
      </c>
    </row>
    <row r="61" spans="1:25" s="888" customFormat="1" ht="13.5" customHeight="1">
      <c r="A61" s="2561" t="s">
        <v>1356</v>
      </c>
      <c r="B61" s="2562"/>
      <c r="C61" s="2562"/>
      <c r="D61" s="2562"/>
      <c r="E61" s="2563"/>
      <c r="F61" s="893">
        <f>F59-F60</f>
        <v>0</v>
      </c>
      <c r="G61" s="893">
        <f t="shared" ref="G61:Y61" si="37">G59-G60</f>
        <v>0</v>
      </c>
      <c r="H61" s="893">
        <f t="shared" si="37"/>
        <v>0</v>
      </c>
      <c r="I61" s="893">
        <f t="shared" si="37"/>
        <v>0</v>
      </c>
      <c r="J61" s="893">
        <f t="shared" si="37"/>
        <v>0</v>
      </c>
      <c r="K61" s="893">
        <f t="shared" si="37"/>
        <v>0</v>
      </c>
      <c r="L61" s="893">
        <f t="shared" si="37"/>
        <v>0</v>
      </c>
      <c r="M61" s="893">
        <f t="shared" si="37"/>
        <v>0</v>
      </c>
      <c r="N61" s="893">
        <f t="shared" si="37"/>
        <v>0</v>
      </c>
      <c r="O61" s="893">
        <f t="shared" si="37"/>
        <v>0</v>
      </c>
      <c r="P61" s="893">
        <f t="shared" si="37"/>
        <v>0</v>
      </c>
      <c r="Q61" s="893">
        <f t="shared" si="37"/>
        <v>0</v>
      </c>
      <c r="R61" s="893">
        <f t="shared" si="37"/>
        <v>0</v>
      </c>
      <c r="S61" s="893">
        <f t="shared" si="37"/>
        <v>0</v>
      </c>
      <c r="T61" s="893">
        <f t="shared" si="37"/>
        <v>0</v>
      </c>
      <c r="U61" s="893">
        <f t="shared" si="37"/>
        <v>0</v>
      </c>
      <c r="V61" s="893">
        <f t="shared" si="37"/>
        <v>0</v>
      </c>
      <c r="W61" s="893">
        <f t="shared" si="37"/>
        <v>0</v>
      </c>
      <c r="X61" s="893">
        <f t="shared" si="37"/>
        <v>0</v>
      </c>
      <c r="Y61" s="894">
        <f t="shared" si="37"/>
        <v>0</v>
      </c>
    </row>
    <row r="62" spans="1:25" s="888" customFormat="1" ht="33" customHeight="1">
      <c r="A62" s="2551" t="s">
        <v>1000</v>
      </c>
      <c r="B62" s="2552"/>
      <c r="C62" s="2552"/>
      <c r="D62" s="2552"/>
      <c r="E62" s="2552"/>
      <c r="F62" s="2552"/>
      <c r="G62" s="2552"/>
      <c r="H62" s="2552"/>
      <c r="I62" s="2552"/>
      <c r="J62" s="2552"/>
      <c r="K62" s="2552"/>
      <c r="L62" s="2552"/>
      <c r="M62" s="2552"/>
      <c r="N62" s="2552"/>
      <c r="O62" s="2552"/>
      <c r="P62" s="2552"/>
      <c r="Q62" s="2552"/>
      <c r="R62" s="2552"/>
      <c r="S62" s="2552"/>
      <c r="T62" s="2552"/>
      <c r="U62" s="2552"/>
      <c r="V62" s="2552"/>
      <c r="W62" s="2552"/>
      <c r="X62" s="2552"/>
      <c r="Y62" s="2553"/>
    </row>
  </sheetData>
  <sheetProtection password="C9E9" sheet="1" objects="1" scenarios="1"/>
  <mergeCells count="78">
    <mergeCell ref="J1:J2"/>
    <mergeCell ref="A62:Y62"/>
    <mergeCell ref="A48:E48"/>
    <mergeCell ref="A52:E52"/>
    <mergeCell ref="A56:E56"/>
    <mergeCell ref="A61:E61"/>
    <mergeCell ref="A51:E51"/>
    <mergeCell ref="A55:E55"/>
    <mergeCell ref="A60:E60"/>
    <mergeCell ref="A59:E59"/>
    <mergeCell ref="A54:E54"/>
    <mergeCell ref="A58:E58"/>
    <mergeCell ref="A57:E57"/>
    <mergeCell ref="A53:E53"/>
    <mergeCell ref="A50:E50"/>
    <mergeCell ref="X1:X2"/>
    <mergeCell ref="L1:L2"/>
    <mergeCell ref="M1:M2"/>
    <mergeCell ref="N1:N2"/>
    <mergeCell ref="O1:O2"/>
    <mergeCell ref="U1:U2"/>
    <mergeCell ref="W1:W2"/>
    <mergeCell ref="V1:V2"/>
    <mergeCell ref="S1:S2"/>
    <mergeCell ref="P1:P2"/>
    <mergeCell ref="Q1:Q2"/>
    <mergeCell ref="R1:R2"/>
    <mergeCell ref="T1:T2"/>
    <mergeCell ref="A27:B27"/>
    <mergeCell ref="A34:B34"/>
    <mergeCell ref="D6:F6"/>
    <mergeCell ref="A7:B7"/>
    <mergeCell ref="D7:F7"/>
    <mergeCell ref="A24:B24"/>
    <mergeCell ref="A29:E29"/>
    <mergeCell ref="A19:B19"/>
    <mergeCell ref="A33:B33"/>
    <mergeCell ref="A20:E20"/>
    <mergeCell ref="A26:B26"/>
    <mergeCell ref="A4:B4"/>
    <mergeCell ref="D4:F4"/>
    <mergeCell ref="A5:B5"/>
    <mergeCell ref="A15:E15"/>
    <mergeCell ref="A18:B18"/>
    <mergeCell ref="A6:B6"/>
    <mergeCell ref="A13:B13"/>
    <mergeCell ref="A47:E47"/>
    <mergeCell ref="A35:B35"/>
    <mergeCell ref="A28:B28"/>
    <mergeCell ref="A21:E21"/>
    <mergeCell ref="A46:B46"/>
    <mergeCell ref="A44:B44"/>
    <mergeCell ref="A45:E45"/>
    <mergeCell ref="A40:B40"/>
    <mergeCell ref="A39:E39"/>
    <mergeCell ref="A43:E43"/>
    <mergeCell ref="A41:E41"/>
    <mergeCell ref="A38:E38"/>
    <mergeCell ref="A36:B36"/>
    <mergeCell ref="A37:B37"/>
    <mergeCell ref="A30:E30"/>
    <mergeCell ref="A25:B25"/>
    <mergeCell ref="K1:K2"/>
    <mergeCell ref="A14:B14"/>
    <mergeCell ref="A3:B3"/>
    <mergeCell ref="G3:H3"/>
    <mergeCell ref="G5:H5"/>
    <mergeCell ref="G6:H6"/>
    <mergeCell ref="G4:H4"/>
    <mergeCell ref="G7:H7"/>
    <mergeCell ref="A1:H1"/>
    <mergeCell ref="A2:B2"/>
    <mergeCell ref="D2:F2"/>
    <mergeCell ref="D3:F3"/>
    <mergeCell ref="I1:I2"/>
    <mergeCell ref="G2:H2"/>
    <mergeCell ref="A10:B10"/>
    <mergeCell ref="D5:F5"/>
  </mergeCells>
  <conditionalFormatting sqref="F52:Y52">
    <cfRule type="cellIs" dxfId="32" priority="43" stopIfTrue="1" operator="equal">
      <formula>$G$6</formula>
    </cfRule>
  </conditionalFormatting>
  <conditionalFormatting sqref="F53:Y53">
    <cfRule type="cellIs" dxfId="31" priority="26" stopIfTrue="1" operator="equal">
      <formula>$G$6</formula>
    </cfRule>
  </conditionalFormatting>
  <conditionalFormatting sqref="I1:I7">
    <cfRule type="expression" dxfId="30" priority="25" stopIfTrue="1">
      <formula>$C$2&lt;&gt;"9%"</formula>
    </cfRule>
  </conditionalFormatting>
  <conditionalFormatting sqref="J1:Y7">
    <cfRule type="expression" dxfId="29" priority="24" stopIfTrue="1">
      <formula>$C$2&lt;&gt;"9%"</formula>
    </cfRule>
  </conditionalFormatting>
  <conditionalFormatting sqref="F57:Y57">
    <cfRule type="cellIs" dxfId="28" priority="17" operator="greaterThan">
      <formula>$G$6</formula>
    </cfRule>
    <cfRule type="cellIs" dxfId="27" priority="21" operator="equal">
      <formula>$G$7</formula>
    </cfRule>
  </conditionalFormatting>
  <conditionalFormatting sqref="F58:Y58">
    <cfRule type="cellIs" dxfId="26" priority="20" stopIfTrue="1" operator="equal">
      <formula>$G$6</formula>
    </cfRule>
  </conditionalFormatting>
  <conditionalFormatting sqref="G4:H4">
    <cfRule type="expression" dxfId="25" priority="9" stopIfTrue="1">
      <formula>$G$3&lt;$G$5</formula>
    </cfRule>
  </conditionalFormatting>
  <conditionalFormatting sqref="D2">
    <cfRule type="expression" dxfId="24" priority="13" stopIfTrue="1">
      <formula>$C$2="9%"</formula>
    </cfRule>
  </conditionalFormatting>
  <conditionalFormatting sqref="G2">
    <cfRule type="expression" dxfId="23" priority="12" stopIfTrue="1">
      <formula>$C$2="9%"</formula>
    </cfRule>
  </conditionalFormatting>
  <conditionalFormatting sqref="A3:B3">
    <cfRule type="expression" dxfId="22" priority="11" stopIfTrue="1">
      <formula>$C$2&lt;&gt;"9%"</formula>
    </cfRule>
  </conditionalFormatting>
  <conditionalFormatting sqref="C3">
    <cfRule type="expression" dxfId="21" priority="10" stopIfTrue="1">
      <formula>$C$2&lt;&gt;"9%"</formula>
    </cfRule>
  </conditionalFormatting>
  <conditionalFormatting sqref="G3:H3">
    <cfRule type="expression" dxfId="20" priority="14" stopIfTrue="1">
      <formula>$G$3&lt;$G$5</formula>
    </cfRule>
  </conditionalFormatting>
  <conditionalFormatting sqref="F51:Y51">
    <cfRule type="cellIs" dxfId="19" priority="7" operator="greaterThan">
      <formula>0</formula>
    </cfRule>
  </conditionalFormatting>
  <conditionalFormatting sqref="F50:Y50">
    <cfRule type="cellIs" dxfId="18" priority="6" operator="lessThan">
      <formula>0</formula>
    </cfRule>
  </conditionalFormatting>
  <conditionalFormatting sqref="C5">
    <cfRule type="expression" dxfId="17" priority="4">
      <formula>AND($C$2="9%",C5&lt;&gt;I7)</formula>
    </cfRule>
  </conditionalFormatting>
  <conditionalFormatting sqref="C7">
    <cfRule type="expression" dxfId="16" priority="1">
      <formula>AND($C$6&gt;20,$C$5&gt;$C$7)</formula>
    </cfRule>
  </conditionalFormatting>
  <dataValidations count="2">
    <dataValidation type="list" allowBlank="1" showInputMessage="1" showErrorMessage="1" sqref="C2">
      <formula1>"9%,Non 9%"</formula1>
    </dataValidation>
    <dataValidation type="list" allowBlank="1" showInputMessage="1" showErrorMessage="1" sqref="I2:K2 C3">
      <formula1>CountyTBL</formula1>
    </dataValidation>
  </dataValidations>
  <pageMargins left="0.25" right="0.25" top="0.5" bottom="0.25" header="0" footer="0"/>
  <pageSetup paperSize="5" scale="59" orientation="landscape" r:id="rId1"/>
  <headerFooter>
    <oddFooter>&amp;CPage &amp;P&amp;RUniversal Application - &amp;A</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I58"/>
  <sheetViews>
    <sheetView workbookViewId="0">
      <selection activeCell="B1" sqref="B1"/>
    </sheetView>
  </sheetViews>
  <sheetFormatPr defaultRowHeight="12.75"/>
  <cols>
    <col min="1" max="1" width="21.5703125" style="43" bestFit="1" customWidth="1"/>
  </cols>
  <sheetData>
    <row r="1" spans="1:9">
      <c r="A1" s="43" t="s">
        <v>563</v>
      </c>
      <c r="B1" s="954">
        <v>43400</v>
      </c>
      <c r="C1" s="954">
        <v>49600</v>
      </c>
      <c r="D1" s="954">
        <v>55800</v>
      </c>
      <c r="E1" s="954">
        <v>61950</v>
      </c>
      <c r="F1" s="954">
        <v>66950</v>
      </c>
      <c r="G1" s="954">
        <v>71900</v>
      </c>
      <c r="H1" s="954">
        <v>76850</v>
      </c>
      <c r="I1" s="954">
        <v>81800</v>
      </c>
    </row>
    <row r="2" spans="1:9">
      <c r="A2" s="43" t="s">
        <v>564</v>
      </c>
      <c r="B2" s="954">
        <v>28050</v>
      </c>
      <c r="C2" s="954">
        <v>32050</v>
      </c>
      <c r="D2" s="954">
        <v>36050</v>
      </c>
      <c r="E2" s="954">
        <v>40050</v>
      </c>
      <c r="F2" s="954">
        <v>43300</v>
      </c>
      <c r="G2" s="954">
        <v>46500</v>
      </c>
      <c r="H2" s="954">
        <v>49700</v>
      </c>
      <c r="I2" s="954">
        <v>52900</v>
      </c>
    </row>
    <row r="3" spans="1:9">
      <c r="A3" s="43" t="s">
        <v>565</v>
      </c>
      <c r="B3" s="954">
        <v>25550</v>
      </c>
      <c r="C3" s="954">
        <v>29200</v>
      </c>
      <c r="D3" s="954">
        <v>32850</v>
      </c>
      <c r="E3" s="954">
        <v>36500</v>
      </c>
      <c r="F3" s="954">
        <v>39450</v>
      </c>
      <c r="G3" s="954">
        <v>42350</v>
      </c>
      <c r="H3" s="954">
        <v>45300</v>
      </c>
      <c r="I3" s="954">
        <v>48200</v>
      </c>
    </row>
    <row r="4" spans="1:9">
      <c r="A4" s="43" t="s">
        <v>566</v>
      </c>
      <c r="B4" s="954">
        <v>23300</v>
      </c>
      <c r="C4" s="954">
        <v>26600</v>
      </c>
      <c r="D4" s="954">
        <v>29950</v>
      </c>
      <c r="E4" s="954">
        <v>33250</v>
      </c>
      <c r="F4" s="954">
        <v>35950</v>
      </c>
      <c r="G4" s="954">
        <v>38600</v>
      </c>
      <c r="H4" s="954">
        <v>41250</v>
      </c>
      <c r="I4" s="954">
        <v>43900</v>
      </c>
    </row>
    <row r="5" spans="1:9">
      <c r="A5" s="43" t="s">
        <v>567</v>
      </c>
      <c r="B5" s="954">
        <v>26400</v>
      </c>
      <c r="C5" s="954">
        <v>30150</v>
      </c>
      <c r="D5" s="954">
        <v>33900</v>
      </c>
      <c r="E5" s="954">
        <v>37650</v>
      </c>
      <c r="F5" s="954">
        <v>40700</v>
      </c>
      <c r="G5" s="954">
        <v>43700</v>
      </c>
      <c r="H5" s="954">
        <v>46700</v>
      </c>
      <c r="I5" s="954">
        <v>49700</v>
      </c>
    </row>
    <row r="6" spans="1:9">
      <c r="A6" s="43" t="s">
        <v>568</v>
      </c>
      <c r="B6" s="954">
        <v>22700</v>
      </c>
      <c r="C6" s="954">
        <v>25950</v>
      </c>
      <c r="D6" s="954">
        <v>29200</v>
      </c>
      <c r="E6" s="954">
        <v>32400</v>
      </c>
      <c r="F6" s="954">
        <v>35000</v>
      </c>
      <c r="G6" s="954">
        <v>37600</v>
      </c>
      <c r="H6" s="954">
        <v>40200</v>
      </c>
      <c r="I6" s="954">
        <v>42800</v>
      </c>
    </row>
    <row r="7" spans="1:9">
      <c r="A7" s="43" t="s">
        <v>569</v>
      </c>
      <c r="B7" s="954">
        <v>43400</v>
      </c>
      <c r="C7" s="954">
        <v>49600</v>
      </c>
      <c r="D7" s="954">
        <v>55800</v>
      </c>
      <c r="E7" s="954">
        <v>61950</v>
      </c>
      <c r="F7" s="954">
        <v>66950</v>
      </c>
      <c r="G7" s="954">
        <v>71900</v>
      </c>
      <c r="H7" s="954">
        <v>76850</v>
      </c>
      <c r="I7" s="954">
        <v>81800</v>
      </c>
    </row>
    <row r="8" spans="1:9">
      <c r="A8" s="43" t="s">
        <v>559</v>
      </c>
      <c r="B8" s="954">
        <v>22700</v>
      </c>
      <c r="C8" s="954">
        <v>25950</v>
      </c>
      <c r="D8" s="954">
        <v>29200</v>
      </c>
      <c r="E8" s="954">
        <v>32400</v>
      </c>
      <c r="F8" s="954">
        <v>35000</v>
      </c>
      <c r="G8" s="954">
        <v>37600</v>
      </c>
      <c r="H8" s="954">
        <v>40200</v>
      </c>
      <c r="I8" s="954">
        <v>42800</v>
      </c>
    </row>
    <row r="9" spans="1:9">
      <c r="A9" s="43" t="s">
        <v>570</v>
      </c>
      <c r="B9" s="954">
        <v>29300</v>
      </c>
      <c r="C9" s="954">
        <v>33450</v>
      </c>
      <c r="D9" s="954">
        <v>37650</v>
      </c>
      <c r="E9" s="954">
        <v>41800</v>
      </c>
      <c r="F9" s="954">
        <v>45150</v>
      </c>
      <c r="G9" s="954">
        <v>48500</v>
      </c>
      <c r="H9" s="954">
        <v>51850</v>
      </c>
      <c r="I9" s="954">
        <v>55200</v>
      </c>
    </row>
    <row r="10" spans="1:9">
      <c r="A10" s="43" t="s">
        <v>571</v>
      </c>
      <c r="B10" s="954">
        <v>22700</v>
      </c>
      <c r="C10" s="954">
        <v>25950</v>
      </c>
      <c r="D10" s="954">
        <v>29200</v>
      </c>
      <c r="E10" s="954">
        <v>32400</v>
      </c>
      <c r="F10" s="954">
        <v>35000</v>
      </c>
      <c r="G10" s="954">
        <v>37600</v>
      </c>
      <c r="H10" s="954">
        <v>40200</v>
      </c>
      <c r="I10" s="954">
        <v>42800</v>
      </c>
    </row>
    <row r="11" spans="1:9">
      <c r="A11" s="43" t="s">
        <v>572</v>
      </c>
      <c r="B11" s="954">
        <v>22700</v>
      </c>
      <c r="C11" s="954">
        <v>25950</v>
      </c>
      <c r="D11" s="954">
        <v>29200</v>
      </c>
      <c r="E11" s="954">
        <v>32400</v>
      </c>
      <c r="F11" s="954">
        <v>35000</v>
      </c>
      <c r="G11" s="954">
        <v>37600</v>
      </c>
      <c r="H11" s="954">
        <v>40200</v>
      </c>
      <c r="I11" s="954">
        <v>42800</v>
      </c>
    </row>
    <row r="12" spans="1:9">
      <c r="A12" s="43" t="s">
        <v>573</v>
      </c>
      <c r="B12" s="954">
        <v>22700</v>
      </c>
      <c r="C12" s="954">
        <v>25950</v>
      </c>
      <c r="D12" s="954">
        <v>29200</v>
      </c>
      <c r="E12" s="954">
        <v>32400</v>
      </c>
      <c r="F12" s="954">
        <v>35000</v>
      </c>
      <c r="G12" s="954">
        <v>37600</v>
      </c>
      <c r="H12" s="954">
        <v>40200</v>
      </c>
      <c r="I12" s="954">
        <v>42800</v>
      </c>
    </row>
    <row r="13" spans="1:9">
      <c r="A13" s="43" t="s">
        <v>574</v>
      </c>
      <c r="B13" s="954">
        <v>22700</v>
      </c>
      <c r="C13" s="954">
        <v>25950</v>
      </c>
      <c r="D13" s="954">
        <v>29200</v>
      </c>
      <c r="E13" s="954">
        <v>32400</v>
      </c>
      <c r="F13" s="954">
        <v>35000</v>
      </c>
      <c r="G13" s="954">
        <v>37600</v>
      </c>
      <c r="H13" s="954">
        <v>40200</v>
      </c>
      <c r="I13" s="954">
        <v>42800</v>
      </c>
    </row>
    <row r="14" spans="1:9">
      <c r="A14" s="43" t="s">
        <v>575</v>
      </c>
      <c r="B14" s="954">
        <v>25450</v>
      </c>
      <c r="C14" s="954">
        <v>29100</v>
      </c>
      <c r="D14" s="954">
        <v>32750</v>
      </c>
      <c r="E14" s="954">
        <v>36350</v>
      </c>
      <c r="F14" s="954">
        <v>39300</v>
      </c>
      <c r="G14" s="954">
        <v>42200</v>
      </c>
      <c r="H14" s="954">
        <v>45100</v>
      </c>
      <c r="I14" s="954">
        <v>48000</v>
      </c>
    </row>
    <row r="15" spans="1:9">
      <c r="A15" s="43" t="s">
        <v>576</v>
      </c>
      <c r="B15" s="954">
        <v>22700</v>
      </c>
      <c r="C15" s="954">
        <v>25950</v>
      </c>
      <c r="D15" s="954">
        <v>29200</v>
      </c>
      <c r="E15" s="954">
        <v>32400</v>
      </c>
      <c r="F15" s="954">
        <v>35000</v>
      </c>
      <c r="G15" s="954">
        <v>37600</v>
      </c>
      <c r="H15" s="954">
        <v>40200</v>
      </c>
      <c r="I15" s="954">
        <v>42800</v>
      </c>
    </row>
    <row r="16" spans="1:9">
      <c r="A16" s="43" t="s">
        <v>577</v>
      </c>
      <c r="B16" s="954">
        <v>22700</v>
      </c>
      <c r="C16" s="954">
        <v>25950</v>
      </c>
      <c r="D16" s="954">
        <v>29200</v>
      </c>
      <c r="E16" s="954">
        <v>32400</v>
      </c>
      <c r="F16" s="954">
        <v>35000</v>
      </c>
      <c r="G16" s="954">
        <v>37600</v>
      </c>
      <c r="H16" s="954">
        <v>40200</v>
      </c>
      <c r="I16" s="954">
        <v>42800</v>
      </c>
    </row>
    <row r="17" spans="1:9">
      <c r="A17" s="43" t="s">
        <v>578</v>
      </c>
      <c r="B17" s="954">
        <v>22700</v>
      </c>
      <c r="C17" s="954">
        <v>25950</v>
      </c>
      <c r="D17" s="954">
        <v>29200</v>
      </c>
      <c r="E17" s="954">
        <v>32400</v>
      </c>
      <c r="F17" s="954">
        <v>35000</v>
      </c>
      <c r="G17" s="954">
        <v>37600</v>
      </c>
      <c r="H17" s="954">
        <v>40200</v>
      </c>
      <c r="I17" s="954">
        <v>42800</v>
      </c>
    </row>
    <row r="18" spans="1:9">
      <c r="A18" s="43" t="s">
        <v>579</v>
      </c>
      <c r="B18" s="954">
        <v>23950</v>
      </c>
      <c r="C18" s="954">
        <v>27350</v>
      </c>
      <c r="D18" s="954">
        <v>30750</v>
      </c>
      <c r="E18" s="954">
        <v>34150</v>
      </c>
      <c r="F18" s="954">
        <v>36900</v>
      </c>
      <c r="G18" s="954">
        <v>39650</v>
      </c>
      <c r="H18" s="954">
        <v>42350</v>
      </c>
      <c r="I18" s="954">
        <v>45100</v>
      </c>
    </row>
    <row r="19" spans="1:9">
      <c r="A19" s="43" t="s">
        <v>580</v>
      </c>
      <c r="B19" s="954">
        <v>36550</v>
      </c>
      <c r="C19" s="954">
        <v>41800</v>
      </c>
      <c r="D19" s="954">
        <v>47000</v>
      </c>
      <c r="E19" s="954">
        <v>52200</v>
      </c>
      <c r="F19" s="954">
        <v>56400</v>
      </c>
      <c r="G19" s="954">
        <v>60600</v>
      </c>
      <c r="H19" s="954">
        <v>64750</v>
      </c>
      <c r="I19" s="954">
        <v>68950</v>
      </c>
    </row>
    <row r="20" spans="1:9">
      <c r="A20" s="43" t="s">
        <v>581</v>
      </c>
      <c r="B20" s="954">
        <v>22700</v>
      </c>
      <c r="C20" s="954">
        <v>25950</v>
      </c>
      <c r="D20" s="954">
        <v>29200</v>
      </c>
      <c r="E20" s="954">
        <v>32400</v>
      </c>
      <c r="F20" s="954">
        <v>35000</v>
      </c>
      <c r="G20" s="954">
        <v>37600</v>
      </c>
      <c r="H20" s="954">
        <v>40200</v>
      </c>
      <c r="I20" s="954">
        <v>42800</v>
      </c>
    </row>
    <row r="21" spans="1:9">
      <c r="A21" s="43" t="s">
        <v>582</v>
      </c>
      <c r="B21" s="954">
        <v>56450</v>
      </c>
      <c r="C21" s="954">
        <v>64500</v>
      </c>
      <c r="D21" s="954">
        <v>72550</v>
      </c>
      <c r="E21" s="954">
        <v>80600</v>
      </c>
      <c r="F21" s="954">
        <v>87050</v>
      </c>
      <c r="G21" s="954">
        <v>93500</v>
      </c>
      <c r="H21" s="954">
        <v>99950</v>
      </c>
      <c r="I21" s="954">
        <v>106400</v>
      </c>
    </row>
    <row r="22" spans="1:9">
      <c r="A22" s="43" t="s">
        <v>583</v>
      </c>
      <c r="B22" s="954">
        <v>22700</v>
      </c>
      <c r="C22" s="954">
        <v>25950</v>
      </c>
      <c r="D22" s="954">
        <v>29200</v>
      </c>
      <c r="E22" s="954">
        <v>32400</v>
      </c>
      <c r="F22" s="954">
        <v>35000</v>
      </c>
      <c r="G22" s="954">
        <v>37600</v>
      </c>
      <c r="H22" s="954">
        <v>40200</v>
      </c>
      <c r="I22" s="954">
        <v>42800</v>
      </c>
    </row>
    <row r="23" spans="1:9">
      <c r="A23" s="43" t="s">
        <v>584</v>
      </c>
      <c r="B23" s="954">
        <v>22700</v>
      </c>
      <c r="C23" s="954">
        <v>25950</v>
      </c>
      <c r="D23" s="954">
        <v>29200</v>
      </c>
      <c r="E23" s="954">
        <v>32400</v>
      </c>
      <c r="F23" s="954">
        <v>35000</v>
      </c>
      <c r="G23" s="954">
        <v>37600</v>
      </c>
      <c r="H23" s="954">
        <v>40200</v>
      </c>
      <c r="I23" s="954">
        <v>42800</v>
      </c>
    </row>
    <row r="24" spans="1:9">
      <c r="A24" s="43" t="s">
        <v>585</v>
      </c>
      <c r="B24" s="954">
        <v>22700</v>
      </c>
      <c r="C24" s="954">
        <v>25950</v>
      </c>
      <c r="D24" s="954">
        <v>29200</v>
      </c>
      <c r="E24" s="954">
        <v>32400</v>
      </c>
      <c r="F24" s="954">
        <v>35000</v>
      </c>
      <c r="G24" s="954">
        <v>37600</v>
      </c>
      <c r="H24" s="954">
        <v>40200</v>
      </c>
      <c r="I24" s="954">
        <v>42800</v>
      </c>
    </row>
    <row r="25" spans="1:9">
      <c r="A25" s="43" t="s">
        <v>586</v>
      </c>
      <c r="B25" s="954">
        <v>22700</v>
      </c>
      <c r="C25" s="954">
        <v>25950</v>
      </c>
      <c r="D25" s="954">
        <v>29200</v>
      </c>
      <c r="E25" s="954">
        <v>32400</v>
      </c>
      <c r="F25" s="954">
        <v>35000</v>
      </c>
      <c r="G25" s="954">
        <v>37600</v>
      </c>
      <c r="H25" s="954">
        <v>40200</v>
      </c>
      <c r="I25" s="954">
        <v>42800</v>
      </c>
    </row>
    <row r="26" spans="1:9">
      <c r="A26" s="43" t="s">
        <v>587</v>
      </c>
      <c r="B26" s="954">
        <v>27300</v>
      </c>
      <c r="C26" s="954">
        <v>31200</v>
      </c>
      <c r="D26" s="954">
        <v>35100</v>
      </c>
      <c r="E26" s="954">
        <v>38950</v>
      </c>
      <c r="F26" s="954">
        <v>42100</v>
      </c>
      <c r="G26" s="954">
        <v>45200</v>
      </c>
      <c r="H26" s="954">
        <v>48300</v>
      </c>
      <c r="I26" s="954">
        <v>51450</v>
      </c>
    </row>
    <row r="27" spans="1:9">
      <c r="A27" s="43" t="s">
        <v>588</v>
      </c>
      <c r="B27" s="954">
        <v>31450</v>
      </c>
      <c r="C27" s="954">
        <v>35950</v>
      </c>
      <c r="D27" s="954">
        <v>40450</v>
      </c>
      <c r="E27" s="954">
        <v>44900</v>
      </c>
      <c r="F27" s="954">
        <v>48500</v>
      </c>
      <c r="G27" s="954">
        <v>52100</v>
      </c>
      <c r="H27" s="954">
        <v>55700</v>
      </c>
      <c r="I27" s="954">
        <v>59300</v>
      </c>
    </row>
    <row r="28" spans="1:9">
      <c r="A28" s="43" t="s">
        <v>589</v>
      </c>
      <c r="B28" s="954">
        <v>35150</v>
      </c>
      <c r="C28" s="954">
        <v>40200</v>
      </c>
      <c r="D28" s="954">
        <v>45200</v>
      </c>
      <c r="E28" s="954">
        <v>50200</v>
      </c>
      <c r="F28" s="954">
        <v>54250</v>
      </c>
      <c r="G28" s="954">
        <v>58250</v>
      </c>
      <c r="H28" s="954">
        <v>62250</v>
      </c>
      <c r="I28" s="954">
        <v>66300</v>
      </c>
    </row>
    <row r="29" spans="1:9">
      <c r="A29" s="43" t="s">
        <v>590</v>
      </c>
      <c r="B29" s="954">
        <v>27900</v>
      </c>
      <c r="C29" s="954">
        <v>31900</v>
      </c>
      <c r="D29" s="954">
        <v>35900</v>
      </c>
      <c r="E29" s="954">
        <v>39850</v>
      </c>
      <c r="F29" s="954">
        <v>43050</v>
      </c>
      <c r="G29" s="954">
        <v>46250</v>
      </c>
      <c r="H29" s="954">
        <v>49450</v>
      </c>
      <c r="I29" s="954">
        <v>52650</v>
      </c>
    </row>
    <row r="30" spans="1:9">
      <c r="A30" s="43" t="s">
        <v>591</v>
      </c>
      <c r="B30" s="954">
        <v>41550</v>
      </c>
      <c r="C30" s="954">
        <v>47500</v>
      </c>
      <c r="D30" s="954">
        <v>53450</v>
      </c>
      <c r="E30" s="954">
        <v>59350</v>
      </c>
      <c r="F30" s="954">
        <v>64100</v>
      </c>
      <c r="G30" s="954">
        <v>68850</v>
      </c>
      <c r="H30" s="954">
        <v>73600</v>
      </c>
      <c r="I30" s="954">
        <v>78350</v>
      </c>
    </row>
    <row r="31" spans="1:9">
      <c r="A31" s="43" t="s">
        <v>592</v>
      </c>
      <c r="B31" s="954">
        <v>29300</v>
      </c>
      <c r="C31" s="954">
        <v>33450</v>
      </c>
      <c r="D31" s="954">
        <v>37650</v>
      </c>
      <c r="E31" s="954">
        <v>41800</v>
      </c>
      <c r="F31" s="954">
        <v>45150</v>
      </c>
      <c r="G31" s="954">
        <v>48500</v>
      </c>
      <c r="H31" s="954">
        <v>51850</v>
      </c>
      <c r="I31" s="954">
        <v>55200</v>
      </c>
    </row>
    <row r="32" spans="1:9">
      <c r="A32" s="43" t="s">
        <v>593</v>
      </c>
      <c r="B32" s="954">
        <v>24400</v>
      </c>
      <c r="C32" s="954">
        <v>27850</v>
      </c>
      <c r="D32" s="954">
        <v>31350</v>
      </c>
      <c r="E32" s="954">
        <v>34800</v>
      </c>
      <c r="F32" s="954">
        <v>37600</v>
      </c>
      <c r="G32" s="954">
        <v>40400</v>
      </c>
      <c r="H32" s="954">
        <v>43200</v>
      </c>
      <c r="I32" s="954">
        <v>45950</v>
      </c>
    </row>
    <row r="33" spans="1:9">
      <c r="A33" s="43" t="s">
        <v>594</v>
      </c>
      <c r="B33" s="954">
        <v>25150</v>
      </c>
      <c r="C33" s="954">
        <v>28750</v>
      </c>
      <c r="D33" s="954">
        <v>32350</v>
      </c>
      <c r="E33" s="954">
        <v>35900</v>
      </c>
      <c r="F33" s="954">
        <v>38800</v>
      </c>
      <c r="G33" s="954">
        <v>41650</v>
      </c>
      <c r="H33" s="954">
        <v>44550</v>
      </c>
      <c r="I33" s="954">
        <v>47400</v>
      </c>
    </row>
    <row r="34" spans="1:9">
      <c r="A34" s="43" t="s">
        <v>595</v>
      </c>
      <c r="B34" s="954">
        <v>29300</v>
      </c>
      <c r="C34" s="954">
        <v>33450</v>
      </c>
      <c r="D34" s="954">
        <v>37650</v>
      </c>
      <c r="E34" s="954">
        <v>41800</v>
      </c>
      <c r="F34" s="954">
        <v>45150</v>
      </c>
      <c r="G34" s="954">
        <v>48500</v>
      </c>
      <c r="H34" s="954">
        <v>51850</v>
      </c>
      <c r="I34" s="954">
        <v>55200</v>
      </c>
    </row>
    <row r="35" spans="1:9">
      <c r="A35" s="43" t="s">
        <v>596</v>
      </c>
      <c r="B35" s="954">
        <v>35700</v>
      </c>
      <c r="C35" s="954">
        <v>40800</v>
      </c>
      <c r="D35" s="954">
        <v>45900</v>
      </c>
      <c r="E35" s="954">
        <v>51000</v>
      </c>
      <c r="F35" s="954">
        <v>55100</v>
      </c>
      <c r="G35" s="954">
        <v>59200</v>
      </c>
      <c r="H35" s="954">
        <v>63250</v>
      </c>
      <c r="I35" s="954">
        <v>67350</v>
      </c>
    </row>
    <row r="36" spans="1:9">
      <c r="A36" s="43" t="s">
        <v>76</v>
      </c>
      <c r="B36" s="954">
        <v>25150</v>
      </c>
      <c r="C36" s="954">
        <v>28750</v>
      </c>
      <c r="D36" s="954">
        <v>32350</v>
      </c>
      <c r="E36" s="954">
        <v>35900</v>
      </c>
      <c r="F36" s="954">
        <v>38800</v>
      </c>
      <c r="G36" s="954">
        <v>41650</v>
      </c>
      <c r="H36" s="954">
        <v>44550</v>
      </c>
      <c r="I36" s="954">
        <v>47400</v>
      </c>
    </row>
    <row r="37" spans="1:9">
      <c r="A37" s="43" t="s">
        <v>597</v>
      </c>
      <c r="B37" s="954">
        <v>37450</v>
      </c>
      <c r="C37" s="954">
        <v>42800</v>
      </c>
      <c r="D37" s="954">
        <v>48150</v>
      </c>
      <c r="E37" s="954">
        <v>53500</v>
      </c>
      <c r="F37" s="954">
        <v>57800</v>
      </c>
      <c r="G37" s="954">
        <v>62100</v>
      </c>
      <c r="H37" s="954">
        <v>66350</v>
      </c>
      <c r="I37" s="954">
        <v>70650</v>
      </c>
    </row>
    <row r="38" spans="1:9">
      <c r="A38" s="43" t="s">
        <v>1393</v>
      </c>
      <c r="B38" s="954">
        <v>56450</v>
      </c>
      <c r="C38" s="954">
        <v>64500</v>
      </c>
      <c r="D38" s="954">
        <v>72550</v>
      </c>
      <c r="E38" s="954">
        <v>80600</v>
      </c>
      <c r="F38" s="954">
        <v>87050</v>
      </c>
      <c r="G38" s="954">
        <v>93500</v>
      </c>
      <c r="H38" s="954">
        <v>99950</v>
      </c>
      <c r="I38" s="954">
        <v>106400</v>
      </c>
    </row>
    <row r="39" spans="1:9">
      <c r="A39" s="43" t="s">
        <v>598</v>
      </c>
      <c r="B39" s="954">
        <v>24500</v>
      </c>
      <c r="C39" s="954">
        <v>28000</v>
      </c>
      <c r="D39" s="954">
        <v>31500</v>
      </c>
      <c r="E39" s="954">
        <v>35000</v>
      </c>
      <c r="F39" s="954">
        <v>37800</v>
      </c>
      <c r="G39" s="954">
        <v>40600</v>
      </c>
      <c r="H39" s="954">
        <v>43400</v>
      </c>
      <c r="I39" s="954">
        <v>46200</v>
      </c>
    </row>
    <row r="40" spans="1:9">
      <c r="A40" s="43" t="s">
        <v>931</v>
      </c>
      <c r="B40" s="954">
        <v>31500</v>
      </c>
      <c r="C40" s="954">
        <v>36000</v>
      </c>
      <c r="D40" s="954">
        <v>40500</v>
      </c>
      <c r="E40" s="954">
        <v>44950</v>
      </c>
      <c r="F40" s="954">
        <v>48550</v>
      </c>
      <c r="G40" s="954">
        <v>52150</v>
      </c>
      <c r="H40" s="954">
        <v>55750</v>
      </c>
      <c r="I40" s="954">
        <v>59350</v>
      </c>
    </row>
    <row r="41" spans="1:9">
      <c r="A41" s="43" t="s">
        <v>932</v>
      </c>
      <c r="B41" s="954">
        <v>56450</v>
      </c>
      <c r="C41" s="954">
        <v>64500</v>
      </c>
      <c r="D41" s="954">
        <v>72550</v>
      </c>
      <c r="E41" s="954">
        <v>80600</v>
      </c>
      <c r="F41" s="954">
        <v>87050</v>
      </c>
      <c r="G41" s="954">
        <v>93500</v>
      </c>
      <c r="H41" s="954">
        <v>99950</v>
      </c>
      <c r="I41" s="954">
        <v>106400</v>
      </c>
    </row>
    <row r="42" spans="1:9">
      <c r="A42" s="43" t="s">
        <v>933</v>
      </c>
      <c r="B42" s="954">
        <v>38650</v>
      </c>
      <c r="C42" s="954">
        <v>44150</v>
      </c>
      <c r="D42" s="954">
        <v>49650</v>
      </c>
      <c r="E42" s="954">
        <v>55150</v>
      </c>
      <c r="F42" s="954">
        <v>59600</v>
      </c>
      <c r="G42" s="954">
        <v>64000</v>
      </c>
      <c r="H42" s="954">
        <v>68400</v>
      </c>
      <c r="I42" s="954">
        <v>72800</v>
      </c>
    </row>
    <row r="43" spans="1:9">
      <c r="A43" s="43" t="s">
        <v>934</v>
      </c>
      <c r="B43" s="954">
        <v>51250</v>
      </c>
      <c r="C43" s="954">
        <v>58550</v>
      </c>
      <c r="D43" s="954">
        <v>65850</v>
      </c>
      <c r="E43" s="954">
        <v>73150</v>
      </c>
      <c r="F43" s="954">
        <v>79050</v>
      </c>
      <c r="G43" s="954">
        <v>84900</v>
      </c>
      <c r="H43" s="954">
        <v>90750</v>
      </c>
      <c r="I43" s="954">
        <v>96600</v>
      </c>
    </row>
    <row r="44" spans="1:9">
      <c r="A44" s="43" t="s">
        <v>935</v>
      </c>
      <c r="B44" s="954">
        <v>42950</v>
      </c>
      <c r="C44" s="954">
        <v>49100</v>
      </c>
      <c r="D44" s="954">
        <v>55250</v>
      </c>
      <c r="E44" s="954">
        <v>61350</v>
      </c>
      <c r="F44" s="954">
        <v>66300</v>
      </c>
      <c r="G44" s="954">
        <v>71200</v>
      </c>
      <c r="H44" s="954">
        <v>76100</v>
      </c>
      <c r="I44" s="954">
        <v>81000</v>
      </c>
    </row>
    <row r="45" spans="1:9">
      <c r="A45" s="43" t="s">
        <v>936</v>
      </c>
      <c r="B45" s="954">
        <v>22700</v>
      </c>
      <c r="C45" s="954">
        <v>25950</v>
      </c>
      <c r="D45" s="954">
        <v>29200</v>
      </c>
      <c r="E45" s="954">
        <v>32400</v>
      </c>
      <c r="F45" s="954">
        <v>35000</v>
      </c>
      <c r="G45" s="954">
        <v>37600</v>
      </c>
      <c r="H45" s="954">
        <v>40200</v>
      </c>
      <c r="I45" s="954">
        <v>42800</v>
      </c>
    </row>
    <row r="46" spans="1:9">
      <c r="A46" s="43" t="s">
        <v>937</v>
      </c>
      <c r="B46" s="954">
        <v>26400</v>
      </c>
      <c r="C46" s="954">
        <v>30200</v>
      </c>
      <c r="D46" s="954">
        <v>33950</v>
      </c>
      <c r="E46" s="954">
        <v>37700</v>
      </c>
      <c r="F46" s="954">
        <v>40750</v>
      </c>
      <c r="G46" s="954">
        <v>43750</v>
      </c>
      <c r="H46" s="954">
        <v>46750</v>
      </c>
      <c r="I46" s="954">
        <v>49800</v>
      </c>
    </row>
    <row r="47" spans="1:9">
      <c r="A47" s="43" t="s">
        <v>938</v>
      </c>
      <c r="B47" s="954">
        <v>22700</v>
      </c>
      <c r="C47" s="954">
        <v>25950</v>
      </c>
      <c r="D47" s="954">
        <v>29200</v>
      </c>
      <c r="E47" s="954">
        <v>32400</v>
      </c>
      <c r="F47" s="954">
        <v>35000</v>
      </c>
      <c r="G47" s="954">
        <v>37600</v>
      </c>
      <c r="H47" s="954">
        <v>40200</v>
      </c>
      <c r="I47" s="954">
        <v>42800</v>
      </c>
    </row>
    <row r="48" spans="1:9">
      <c r="A48" s="43" t="s">
        <v>939</v>
      </c>
      <c r="B48" s="954">
        <v>30000</v>
      </c>
      <c r="C48" s="954">
        <v>34300</v>
      </c>
      <c r="D48" s="954">
        <v>38600</v>
      </c>
      <c r="E48" s="954">
        <v>42850</v>
      </c>
      <c r="F48" s="954">
        <v>46300</v>
      </c>
      <c r="G48" s="954">
        <v>49750</v>
      </c>
      <c r="H48" s="954">
        <v>53150</v>
      </c>
      <c r="I48" s="954">
        <v>56600</v>
      </c>
    </row>
    <row r="49" spans="1:9">
      <c r="A49" s="43" t="s">
        <v>940</v>
      </c>
      <c r="B49" s="954">
        <v>37800</v>
      </c>
      <c r="C49" s="954">
        <v>43200</v>
      </c>
      <c r="D49" s="954">
        <v>48600</v>
      </c>
      <c r="E49" s="954">
        <v>54000</v>
      </c>
      <c r="F49" s="954">
        <v>58350</v>
      </c>
      <c r="G49" s="954">
        <v>62650</v>
      </c>
      <c r="H49" s="954">
        <v>67000</v>
      </c>
      <c r="I49" s="954">
        <v>71300</v>
      </c>
    </row>
    <row r="50" spans="1:9">
      <c r="A50" s="43" t="s">
        <v>941</v>
      </c>
      <c r="B50" s="954">
        <v>22700</v>
      </c>
      <c r="C50" s="954">
        <v>25950</v>
      </c>
      <c r="D50" s="954">
        <v>29200</v>
      </c>
      <c r="E50" s="954">
        <v>32400</v>
      </c>
      <c r="F50" s="954">
        <v>35000</v>
      </c>
      <c r="G50" s="954">
        <v>37600</v>
      </c>
      <c r="H50" s="954">
        <v>40200</v>
      </c>
      <c r="I50" s="954">
        <v>42800</v>
      </c>
    </row>
    <row r="51" spans="1:9">
      <c r="A51" s="43" t="s">
        <v>942</v>
      </c>
      <c r="B51" s="954">
        <v>22700</v>
      </c>
      <c r="C51" s="954">
        <v>25950</v>
      </c>
      <c r="D51" s="954">
        <v>29200</v>
      </c>
      <c r="E51" s="954">
        <v>32400</v>
      </c>
      <c r="F51" s="954">
        <v>35000</v>
      </c>
      <c r="G51" s="954">
        <v>37600</v>
      </c>
      <c r="H51" s="954">
        <v>40200</v>
      </c>
      <c r="I51" s="954">
        <v>42800</v>
      </c>
    </row>
    <row r="52" spans="1:9">
      <c r="A52" s="43" t="s">
        <v>943</v>
      </c>
      <c r="B52" s="954">
        <v>22700</v>
      </c>
      <c r="C52" s="954">
        <v>25950</v>
      </c>
      <c r="D52" s="954">
        <v>29200</v>
      </c>
      <c r="E52" s="954">
        <v>32400</v>
      </c>
      <c r="F52" s="954">
        <v>35000</v>
      </c>
      <c r="G52" s="954">
        <v>37600</v>
      </c>
      <c r="H52" s="954">
        <v>40200</v>
      </c>
      <c r="I52" s="954">
        <v>42800</v>
      </c>
    </row>
    <row r="53" spans="1:9">
      <c r="A53" s="43" t="s">
        <v>944</v>
      </c>
      <c r="B53" s="954">
        <v>22700</v>
      </c>
      <c r="C53" s="954">
        <v>25950</v>
      </c>
      <c r="D53" s="954">
        <v>29200</v>
      </c>
      <c r="E53" s="954">
        <v>32400</v>
      </c>
      <c r="F53" s="954">
        <v>35000</v>
      </c>
      <c r="G53" s="954">
        <v>37600</v>
      </c>
      <c r="H53" s="954">
        <v>40200</v>
      </c>
      <c r="I53" s="954">
        <v>42800</v>
      </c>
    </row>
    <row r="54" spans="1:9">
      <c r="A54" s="43" t="s">
        <v>945</v>
      </c>
      <c r="B54" s="954">
        <v>22700</v>
      </c>
      <c r="C54" s="954">
        <v>25950</v>
      </c>
      <c r="D54" s="954">
        <v>29200</v>
      </c>
      <c r="E54" s="954">
        <v>32400</v>
      </c>
      <c r="F54" s="954">
        <v>35000</v>
      </c>
      <c r="G54" s="954">
        <v>37600</v>
      </c>
      <c r="H54" s="954">
        <v>40200</v>
      </c>
      <c r="I54" s="954">
        <v>42800</v>
      </c>
    </row>
    <row r="55" spans="1:9">
      <c r="A55" s="43" t="s">
        <v>946</v>
      </c>
      <c r="B55" s="954">
        <v>23000</v>
      </c>
      <c r="C55" s="954">
        <v>26300</v>
      </c>
      <c r="D55" s="954">
        <v>29600</v>
      </c>
      <c r="E55" s="954">
        <v>32850</v>
      </c>
      <c r="F55" s="954">
        <v>35500</v>
      </c>
      <c r="G55" s="954">
        <v>38150</v>
      </c>
      <c r="H55" s="954">
        <v>40750</v>
      </c>
      <c r="I55" s="954">
        <v>43400</v>
      </c>
    </row>
    <row r="56" spans="1:9">
      <c r="A56" s="43" t="s">
        <v>947</v>
      </c>
      <c r="B56" s="954">
        <v>36650</v>
      </c>
      <c r="C56" s="954">
        <v>41850</v>
      </c>
      <c r="D56" s="954">
        <v>47100</v>
      </c>
      <c r="E56" s="954">
        <v>52300</v>
      </c>
      <c r="F56" s="954">
        <v>56500</v>
      </c>
      <c r="G56" s="954">
        <v>60700</v>
      </c>
      <c r="H56" s="954">
        <v>64900</v>
      </c>
      <c r="I56" s="954">
        <v>69050</v>
      </c>
    </row>
    <row r="57" spans="1:9">
      <c r="A57" s="43" t="s">
        <v>948</v>
      </c>
      <c r="B57" s="954">
        <v>30800</v>
      </c>
      <c r="C57" s="954">
        <v>35200</v>
      </c>
      <c r="D57" s="954">
        <v>39600</v>
      </c>
      <c r="E57" s="954">
        <v>43950</v>
      </c>
      <c r="F57" s="954">
        <v>47500</v>
      </c>
      <c r="G57" s="954">
        <v>51000</v>
      </c>
      <c r="H57" s="954">
        <v>54500</v>
      </c>
      <c r="I57" s="954">
        <v>58050</v>
      </c>
    </row>
    <row r="58" spans="1:9">
      <c r="A58" s="43" t="s">
        <v>949</v>
      </c>
      <c r="B58" s="954">
        <v>22700</v>
      </c>
      <c r="C58" s="954">
        <v>25950</v>
      </c>
      <c r="D58" s="954">
        <v>29200</v>
      </c>
      <c r="E58" s="954">
        <v>32400</v>
      </c>
      <c r="F58" s="954">
        <v>35000</v>
      </c>
      <c r="G58" s="954">
        <v>37600</v>
      </c>
      <c r="H58" s="954">
        <v>40200</v>
      </c>
      <c r="I58" s="954">
        <v>42800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tabColor theme="4" tint="0.59999389629810485"/>
    <pageSetUpPr fitToPage="1"/>
  </sheetPr>
  <dimension ref="A1:V49"/>
  <sheetViews>
    <sheetView showGridLines="0" zoomScaleNormal="100" workbookViewId="0">
      <selection sqref="A1:T1"/>
    </sheetView>
  </sheetViews>
  <sheetFormatPr defaultColWidth="9.140625" defaultRowHeight="12.75"/>
  <cols>
    <col min="1" max="1" width="9.42578125" customWidth="1"/>
    <col min="2" max="2" width="23.42578125" customWidth="1"/>
    <col min="3" max="3" width="13.28515625" style="620" customWidth="1"/>
    <col min="4" max="17" width="10.28515625" style="620" customWidth="1"/>
    <col min="18" max="18" width="10.28515625" style="620" bestFit="1" customWidth="1"/>
    <col min="19" max="19" width="10.28515625" style="620" customWidth="1"/>
    <col min="20" max="20" width="10.28515625" style="620" bestFit="1" customWidth="1"/>
    <col min="22" max="22" width="0" hidden="1" customWidth="1"/>
    <col min="23" max="23" width="9.140625" customWidth="1"/>
  </cols>
  <sheetData>
    <row r="1" spans="1:22" ht="18" customHeight="1" thickBot="1">
      <c r="A1" s="2609" t="str">
        <f>CONCATENATE('General '!A45," HHC Article 1 Cash Flow (CF) for COSR")</f>
        <v xml:space="preserve"> HHC Article 1 Cash Flow (CF) for COSR</v>
      </c>
      <c r="B1" s="2610"/>
      <c r="C1" s="2610"/>
      <c r="D1" s="2610"/>
      <c r="E1" s="2610"/>
      <c r="F1" s="2610"/>
      <c r="G1" s="2610"/>
      <c r="H1" s="2610"/>
      <c r="I1" s="2610"/>
      <c r="J1" s="2610"/>
      <c r="K1" s="2610"/>
      <c r="L1" s="2610"/>
      <c r="M1" s="2610"/>
      <c r="N1" s="2610"/>
      <c r="O1" s="2610"/>
      <c r="P1" s="2610"/>
      <c r="Q1" s="2610"/>
      <c r="R1" s="2610"/>
      <c r="S1" s="2610"/>
      <c r="T1" s="2611"/>
    </row>
    <row r="2" spans="1:22" ht="15" customHeight="1">
      <c r="A2" s="2621" t="s">
        <v>1368</v>
      </c>
      <c r="B2" s="2622"/>
      <c r="C2" s="964"/>
      <c r="D2" s="2619" t="s">
        <v>1323</v>
      </c>
      <c r="E2" s="2620"/>
      <c r="F2" s="2620"/>
      <c r="G2" s="2614"/>
      <c r="H2" s="2612"/>
      <c r="I2" s="2612"/>
      <c r="J2" s="2613" t="s">
        <v>1410</v>
      </c>
      <c r="K2" s="2614"/>
      <c r="L2" s="2634" t="str">
        <f>IF('General '!AI45="","",'General '!AI45)</f>
        <v/>
      </c>
      <c r="M2" s="2634"/>
      <c r="O2"/>
      <c r="P2" s="859"/>
      <c r="Q2" s="859"/>
      <c r="R2"/>
      <c r="S2"/>
      <c r="T2" s="11"/>
    </row>
    <row r="3" spans="1:22" ht="15" customHeight="1" thickBot="1">
      <c r="A3" s="2623" t="s">
        <v>1411</v>
      </c>
      <c r="B3" s="2624"/>
      <c r="C3" s="962">
        <f>'HHC Rents'!D48</f>
        <v>0</v>
      </c>
      <c r="N3"/>
      <c r="O3"/>
      <c r="P3" s="859"/>
      <c r="Q3" s="859"/>
      <c r="R3"/>
      <c r="S3"/>
      <c r="T3" s="11"/>
    </row>
    <row r="4" spans="1:22" ht="20.100000000000001" customHeight="1">
      <c r="A4" s="2623" t="s">
        <v>1412</v>
      </c>
      <c r="B4" s="2624"/>
      <c r="C4" s="962">
        <f>'Rents '!D125</f>
        <v>0</v>
      </c>
      <c r="D4" s="2607" t="s">
        <v>1413</v>
      </c>
      <c r="E4" s="2549" t="s">
        <v>1653</v>
      </c>
      <c r="F4" s="2477" t="s">
        <v>1652</v>
      </c>
      <c r="G4" s="2539" t="s">
        <v>1667</v>
      </c>
      <c r="H4" s="2541" t="s">
        <v>1661</v>
      </c>
      <c r="I4" s="2543" t="s">
        <v>1654</v>
      </c>
      <c r="J4" s="2545" t="s">
        <v>1668</v>
      </c>
      <c r="K4" s="2531" t="s">
        <v>1658</v>
      </c>
      <c r="L4" s="2533" t="s">
        <v>1655</v>
      </c>
      <c r="M4" s="2535" t="s">
        <v>1669</v>
      </c>
      <c r="N4" s="2529" t="s">
        <v>1659</v>
      </c>
      <c r="O4" s="2537" t="s">
        <v>1656</v>
      </c>
      <c r="P4" s="2547" t="s">
        <v>1670</v>
      </c>
      <c r="Q4" s="2527" t="s">
        <v>1660</v>
      </c>
      <c r="R4" s="2525" t="s">
        <v>1657</v>
      </c>
      <c r="S4" s="2584" t="s">
        <v>1671</v>
      </c>
      <c r="T4" s="973"/>
    </row>
    <row r="5" spans="1:22" s="38" customFormat="1" ht="20.100000000000001" customHeight="1" thickBot="1">
      <c r="A5" s="2617" t="s">
        <v>1404</v>
      </c>
      <c r="B5" s="2618"/>
      <c r="C5" s="963">
        <f>IF(C4&gt;20,ROUNDDOWN(C4*0.49,0),C4)</f>
        <v>0</v>
      </c>
      <c r="D5" s="2608"/>
      <c r="E5" s="2550"/>
      <c r="F5" s="2478"/>
      <c r="G5" s="2540"/>
      <c r="H5" s="2542"/>
      <c r="I5" s="2544"/>
      <c r="J5" s="2546"/>
      <c r="K5" s="2532"/>
      <c r="L5" s="2534"/>
      <c r="M5" s="2536"/>
      <c r="N5" s="2530"/>
      <c r="O5" s="2538"/>
      <c r="P5" s="2548"/>
      <c r="Q5" s="2528"/>
      <c r="R5" s="2526"/>
      <c r="S5" s="2585"/>
      <c r="T5" s="973"/>
    </row>
    <row r="6" spans="1:22" s="38" customFormat="1" ht="15" customHeight="1">
      <c r="A6" s="2625" t="s">
        <v>1662</v>
      </c>
      <c r="B6" s="2626"/>
      <c r="C6" s="960">
        <f>T10</f>
        <v>0</v>
      </c>
      <c r="D6" s="976" t="s">
        <v>1325</v>
      </c>
      <c r="E6" s="966" t="str">
        <f>IF(OR($H$2="",$L$2=""),"",IF($H$2="9%",VLOOKUP(V6,'HHC COSR PU Amounts'!$A$1:$K$233,2,FALSE),VLOOKUP(V6,'HHC COSR PU Amounts'!$A$1:$K$233,7,FALSE)))</f>
        <v/>
      </c>
      <c r="F6" s="1011"/>
      <c r="G6" s="910" t="str">
        <f>IF(E6="","",E6*F6)</f>
        <v/>
      </c>
      <c r="H6" s="966" t="str">
        <f>IF(OR($H$2="",$L$2=""),"",IF($H$2="9%",VLOOKUP(V6,'HHC COSR PU Amounts'!$A$1:$K$233,3,FALSE),VLOOKUP(V6,'HHC COSR PU Amounts'!$A$1:$K$233,8,FALSE)))</f>
        <v/>
      </c>
      <c r="I6" s="1011"/>
      <c r="J6" s="911" t="str">
        <f>IF($C$2="","",H6*I6)</f>
        <v/>
      </c>
      <c r="K6" s="966" t="str">
        <f>IF(OR($H$2="",$L$2=""),"",IF($H$2="9%",VLOOKUP(V6,'HHC COSR PU Amounts'!$A$1:$K$233,4,FALSE),VLOOKUP(V6,'HHC COSR PU Amounts'!$A$1:$K$233,9,FALSE)))</f>
        <v/>
      </c>
      <c r="L6" s="1011"/>
      <c r="M6" s="912" t="str">
        <f>IF($C$2="","",K6*L6)</f>
        <v/>
      </c>
      <c r="N6" s="966" t="str">
        <f>IF(OR($H$2="",$L$2=""),"",IF($H$2="9%",VLOOKUP(V6,'HHC COSR PU Amounts'!$A$1:$K$233,5,FALSE),VLOOKUP(V6,'HHC COSR PU Amounts'!$A$1:$K$233,10,FALSE)))</f>
        <v/>
      </c>
      <c r="O6" s="1011"/>
      <c r="P6" s="913" t="str">
        <f>IF($C$2="","",N6*O6)</f>
        <v/>
      </c>
      <c r="Q6" s="966" t="str">
        <f>IF(OR($H$2="",$L$2=""),"",IF($H$2="9%",VLOOKUP(V6,'HHC COSR PU Amounts'!$A$1:$K$233,6,FALSE),VLOOKUP(V6,'HHC COSR PU Amounts'!$A$1:$K$233,11,FALSE)))</f>
        <v/>
      </c>
      <c r="R6" s="1011"/>
      <c r="S6" s="914" t="str">
        <f>IF($C$2="","",Q6*R6)</f>
        <v/>
      </c>
      <c r="T6" s="973"/>
      <c r="V6" s="975" t="str">
        <f>CONCATENATE($L$2,D6)</f>
        <v>30%</v>
      </c>
    </row>
    <row r="7" spans="1:22" s="38" customFormat="1" ht="15" customHeight="1" thickBot="1">
      <c r="A7" s="2601" t="s">
        <v>1405</v>
      </c>
      <c r="B7" s="2602"/>
      <c r="C7" s="1013">
        <f>-SUMIF(F41:T41,"&lt;0")</f>
        <v>0</v>
      </c>
      <c r="D7" s="976" t="s">
        <v>1326</v>
      </c>
      <c r="E7" s="966" t="str">
        <f>IF(OR($H$2="",$L$2=""),"",IF($H$2="9%",VLOOKUP(V7,'HHC COSR PU Amounts'!$A$1:$K$233,2,FALSE),VLOOKUP(V7,'HHC COSR PU Amounts'!$A$1:$K$233,7,FALSE)))</f>
        <v/>
      </c>
      <c r="F7" s="1011"/>
      <c r="G7" s="910" t="str">
        <f>IF($C$2="","",E7*F7)</f>
        <v/>
      </c>
      <c r="H7" s="966" t="str">
        <f>IF(OR($H$2="",$L$2=""),"",IF($H$2="9%",VLOOKUP(V7,'HHC COSR PU Amounts'!$A$1:$K$233,3,FALSE),VLOOKUP(V7,'HHC COSR PU Amounts'!$A$1:$K$233,8,FALSE)))</f>
        <v/>
      </c>
      <c r="I7" s="1011"/>
      <c r="J7" s="911" t="str">
        <f>IF($C$2="","",H7*I7)</f>
        <v/>
      </c>
      <c r="K7" s="966" t="str">
        <f>IF(OR($H$2="",$L$2=""),"",IF($H$2="9%",VLOOKUP(V7,'HHC COSR PU Amounts'!$A$1:$K$233,4,FALSE),VLOOKUP(V7,'HHC COSR PU Amounts'!$A$1:$K$233,9,FALSE)))</f>
        <v/>
      </c>
      <c r="L7" s="1011"/>
      <c r="M7" s="912" t="str">
        <f>IF($C$2="","",K7*L7)</f>
        <v/>
      </c>
      <c r="N7" s="966" t="str">
        <f>IF(OR($H$2="",$L$2=""),"",IF($H$2="9%",VLOOKUP(V7,'HHC COSR PU Amounts'!$A$1:$K$233,5,FALSE),VLOOKUP(V7,'HHC COSR PU Amounts'!$A$1:$K$233,10,FALSE)))</f>
        <v/>
      </c>
      <c r="O7" s="1011"/>
      <c r="P7" s="913" t="str">
        <f>IF($C$2="","",N7*O7)</f>
        <v/>
      </c>
      <c r="Q7" s="966" t="str">
        <f>IF(OR($H$2="",$L$2=""),"",IF($H$2="9%",VLOOKUP(V7,'HHC COSR PU Amounts'!$A$1:$K$233,6,FALSE),VLOOKUP(V7,'HHC COSR PU Amounts'!$A$1:$K$233,11,FALSE)))</f>
        <v/>
      </c>
      <c r="R7" s="1011"/>
      <c r="S7" s="914" t="str">
        <f>IF($C$2="","",Q7*R7)</f>
        <v/>
      </c>
      <c r="T7" s="973"/>
      <c r="V7" s="975" t="str">
        <f>CONCATENATE($L$2,D7)</f>
        <v>25%</v>
      </c>
    </row>
    <row r="8" spans="1:22" s="38" customFormat="1" ht="15" customHeight="1" thickBot="1">
      <c r="A8" s="2603" t="s">
        <v>1663</v>
      </c>
      <c r="B8" s="2604"/>
      <c r="C8" s="1015">
        <f>MIN(C6,C7)</f>
        <v>0</v>
      </c>
      <c r="D8" s="976" t="s">
        <v>1327</v>
      </c>
      <c r="E8" s="966" t="str">
        <f>IF(OR($H$2="",$L$2=""),"",IF($H$2="9%",VLOOKUP(V8,'HHC COSR PU Amounts'!$A$1:$K$233,2,FALSE),VLOOKUP(V8,'HHC COSR PU Amounts'!$A$1:$K$233,7,FALSE)))</f>
        <v/>
      </c>
      <c r="F8" s="1011"/>
      <c r="G8" s="910" t="str">
        <f>IF($C$2="","",E8*F8)</f>
        <v/>
      </c>
      <c r="H8" s="966" t="str">
        <f>IF(OR($H$2="",$L$2=""),"",IF($H$2="9%",VLOOKUP(V8,'HHC COSR PU Amounts'!$A$1:$K$233,3,FALSE),VLOOKUP(V8,'HHC COSR PU Amounts'!$A$1:$K$233,8,FALSE)))</f>
        <v/>
      </c>
      <c r="I8" s="1011"/>
      <c r="J8" s="911" t="str">
        <f>IF($C$2="","",H8*I8)</f>
        <v/>
      </c>
      <c r="K8" s="966" t="str">
        <f>IF(OR($H$2="",$L$2=""),"",IF($H$2="9%",VLOOKUP(V8,'HHC COSR PU Amounts'!$A$1:$K$233,4,FALSE),VLOOKUP(V8,'HHC COSR PU Amounts'!$A$1:$K$233,9,FALSE)))</f>
        <v/>
      </c>
      <c r="L8" s="1011"/>
      <c r="M8" s="912" t="str">
        <f>IF($C$2="","",K8*L8)</f>
        <v/>
      </c>
      <c r="N8" s="966" t="str">
        <f>IF(OR($H$2="",$L$2=""),"",IF($H$2="9%",VLOOKUP(V8,'HHC COSR PU Amounts'!$A$1:$K$233,5,FALSE),VLOOKUP(V8,'HHC COSR PU Amounts'!$A$1:$K$233,10,FALSE)))</f>
        <v/>
      </c>
      <c r="O8" s="1011"/>
      <c r="P8" s="913" t="str">
        <f>IF($C$2="","",N8*O8)</f>
        <v/>
      </c>
      <c r="Q8" s="966" t="str">
        <f>IF(OR($H$2="",$L$2=""),"",IF($H$2="9%",VLOOKUP(V8,'HHC COSR PU Amounts'!$A$1:$K$233,6,FALSE),VLOOKUP(V8,'HHC COSR PU Amounts'!$A$1:$K$233,11,FALSE)))</f>
        <v/>
      </c>
      <c r="R8" s="1011"/>
      <c r="S8" s="914" t="str">
        <f>IF($C$2="","",Q8*R8)</f>
        <v/>
      </c>
      <c r="T8" s="973"/>
      <c r="V8" s="975" t="str">
        <f>CONCATENATE($L$2,D8)</f>
        <v>20%</v>
      </c>
    </row>
    <row r="9" spans="1:22" s="38" customFormat="1" ht="15" customHeight="1" thickBot="1">
      <c r="A9" s="2605" t="s">
        <v>1406</v>
      </c>
      <c r="B9" s="2606"/>
      <c r="C9" s="1014">
        <f>MIN(C6,C8)*0.05</f>
        <v>0</v>
      </c>
      <c r="D9" s="977" t="s">
        <v>1328</v>
      </c>
      <c r="E9" s="966" t="str">
        <f>IF(OR($H$2="",$L$2=""),"",IF($H$2="9%",VLOOKUP(V9,'HHC COSR PU Amounts'!$A$1:$K$233,2,FALSE),VLOOKUP(V9,'HHC COSR PU Amounts'!$A$1:$K$233,7,FALSE)))</f>
        <v/>
      </c>
      <c r="F9" s="1012"/>
      <c r="G9" s="915" t="str">
        <f>IF($C$2="","",E9*F9)</f>
        <v/>
      </c>
      <c r="H9" s="967" t="str">
        <f>IF(OR($H$2="",$L$2=""),"",IF($H$2="9%",VLOOKUP(V9,'HHC COSR PU Amounts'!$A$1:$K$233,3,FALSE),VLOOKUP(V9,'HHC COSR PU Amounts'!$A$1:$K$233,8,FALSE)))</f>
        <v/>
      </c>
      <c r="I9" s="1012"/>
      <c r="J9" s="917" t="str">
        <f>IF($C$2="","",H9*I9)</f>
        <v/>
      </c>
      <c r="K9" s="967" t="str">
        <f>IF(OR($H$2="",$L$2=""),"",IF($H$2="9%",VLOOKUP(V9,'HHC COSR PU Amounts'!$A$1:$K$233,4,FALSE),VLOOKUP(V9,'HHC COSR PU Amounts'!$A$1:$K$233,9,FALSE)))</f>
        <v/>
      </c>
      <c r="L9" s="1012"/>
      <c r="M9" s="918" t="str">
        <f>IF($C$2="","",K9*L9)</f>
        <v/>
      </c>
      <c r="N9" s="967" t="str">
        <f>IF(OR($H$2="",$L$2=""),"",IF($H$2="9%",VLOOKUP(V9,'HHC COSR PU Amounts'!$A$1:$K$233,5,FALSE),VLOOKUP(V9,'HHC COSR PU Amounts'!$A$1:$K$233,10,FALSE)))</f>
        <v/>
      </c>
      <c r="O9" s="1012"/>
      <c r="P9" s="919" t="str">
        <f>IF($C$2="","",N9*O9)</f>
        <v/>
      </c>
      <c r="Q9" s="967" t="str">
        <f>IF(OR($H$2="",$L$2=""),"",IF($H$2="9%",VLOOKUP(V9,'HHC COSR PU Amounts'!$A$1:$K$233,6,FALSE),VLOOKUP(V9,'HHC COSR PU Amounts'!$A$1:$K$233,11,FALSE)))</f>
        <v/>
      </c>
      <c r="R9" s="1012"/>
      <c r="S9" s="920" t="str">
        <f>IF($C$2="","",Q9*R9)</f>
        <v/>
      </c>
      <c r="T9" s="973"/>
      <c r="V9" s="975" t="str">
        <f>CONCATENATE($L$2,D9)</f>
        <v>15%</v>
      </c>
    </row>
    <row r="10" spans="1:22" s="38" customFormat="1" ht="15" customHeight="1" thickBot="1">
      <c r="A10" s="2615" t="s">
        <v>1407</v>
      </c>
      <c r="B10" s="2616"/>
      <c r="C10" s="961">
        <f>MIN(C6,C8)*0.07</f>
        <v>0</v>
      </c>
      <c r="D10" s="959">
        <f>SUM(F6:F9)+SUM(I6:I9)+SUM(L6:L9)+SUM(O6:O9)+SUM(R6:R9)</f>
        <v>0</v>
      </c>
      <c r="E10" s="952" t="s">
        <v>1388</v>
      </c>
      <c r="F10" s="968">
        <f>SUM(F6:F9)</f>
        <v>0</v>
      </c>
      <c r="G10" s="940">
        <f>SUM(G6:G9)</f>
        <v>0</v>
      </c>
      <c r="H10" s="948" t="s">
        <v>1389</v>
      </c>
      <c r="I10" s="969">
        <f>SUM(I6:I9)</f>
        <v>0</v>
      </c>
      <c r="J10" s="974">
        <f>SUM(J6:J9)</f>
        <v>0</v>
      </c>
      <c r="K10" s="950" t="s">
        <v>1390</v>
      </c>
      <c r="L10" s="970">
        <f>SUM(L6:L9)</f>
        <v>0</v>
      </c>
      <c r="M10" s="943">
        <f>SUM(M6:M9)</f>
        <v>0</v>
      </c>
      <c r="N10" s="946" t="s">
        <v>1391</v>
      </c>
      <c r="O10" s="971">
        <f>SUM(O6:O9)</f>
        <v>0</v>
      </c>
      <c r="P10" s="942">
        <f>SUM(P6:P9)</f>
        <v>0</v>
      </c>
      <c r="Q10" s="944" t="s">
        <v>1392</v>
      </c>
      <c r="R10" s="972">
        <f>SUM(R6:R9)</f>
        <v>0</v>
      </c>
      <c r="S10" s="941">
        <f>SUM(S6:S9)</f>
        <v>0</v>
      </c>
      <c r="T10" s="922">
        <f>G10+J10+M10+P10+S10</f>
        <v>0</v>
      </c>
    </row>
    <row r="11" spans="1:22" s="38" customFormat="1" ht="13.5" customHeight="1">
      <c r="A11" s="978" t="s">
        <v>202</v>
      </c>
      <c r="B11" s="979"/>
      <c r="C11" s="980" t="s">
        <v>1367</v>
      </c>
      <c r="D11" s="980" t="s">
        <v>998</v>
      </c>
      <c r="E11" s="980" t="s">
        <v>206</v>
      </c>
      <c r="F11" s="981" t="s">
        <v>962</v>
      </c>
      <c r="G11" s="982" t="s">
        <v>963</v>
      </c>
      <c r="H11" s="982" t="s">
        <v>964</v>
      </c>
      <c r="I11" s="982" t="s">
        <v>965</v>
      </c>
      <c r="J11" s="982" t="s">
        <v>966</v>
      </c>
      <c r="K11" s="982" t="s">
        <v>967</v>
      </c>
      <c r="L11" s="982" t="s">
        <v>968</v>
      </c>
      <c r="M11" s="982" t="s">
        <v>969</v>
      </c>
      <c r="N11" s="982" t="s">
        <v>970</v>
      </c>
      <c r="O11" s="982" t="s">
        <v>971</v>
      </c>
      <c r="P11" s="982" t="s">
        <v>972</v>
      </c>
      <c r="Q11" s="982" t="s">
        <v>973</v>
      </c>
      <c r="R11" s="982" t="s">
        <v>974</v>
      </c>
      <c r="S11" s="982" t="s">
        <v>975</v>
      </c>
      <c r="T11" s="999" t="s">
        <v>976</v>
      </c>
    </row>
    <row r="12" spans="1:22" s="38" customFormat="1" ht="13.5" customHeight="1">
      <c r="A12" s="983" t="s">
        <v>1396</v>
      </c>
      <c r="B12" s="849"/>
      <c r="C12" s="834"/>
      <c r="D12" s="926">
        <f>IF($C$4=0,0,$C$3/($C$4-$C$2))</f>
        <v>0</v>
      </c>
      <c r="E12" s="850">
        <v>2.5000000000000001E-2</v>
      </c>
      <c r="F12" s="844">
        <f>IF('Cash Flow'!D3=1,'HHC Rents'!J48*12,'HHC Rents'!I48*12)</f>
        <v>0</v>
      </c>
      <c r="G12" s="660">
        <f t="shared" ref="G12:T12" si="0">F12*(1+$E12)</f>
        <v>0</v>
      </c>
      <c r="H12" s="660">
        <f t="shared" si="0"/>
        <v>0</v>
      </c>
      <c r="I12" s="660">
        <f t="shared" si="0"/>
        <v>0</v>
      </c>
      <c r="J12" s="660">
        <f t="shared" si="0"/>
        <v>0</v>
      </c>
      <c r="K12" s="660">
        <f t="shared" si="0"/>
        <v>0</v>
      </c>
      <c r="L12" s="660">
        <f t="shared" si="0"/>
        <v>0</v>
      </c>
      <c r="M12" s="660">
        <f t="shared" si="0"/>
        <v>0</v>
      </c>
      <c r="N12" s="660">
        <f t="shared" si="0"/>
        <v>0</v>
      </c>
      <c r="O12" s="660">
        <f t="shared" si="0"/>
        <v>0</v>
      </c>
      <c r="P12" s="660">
        <f t="shared" si="0"/>
        <v>0</v>
      </c>
      <c r="Q12" s="660">
        <f t="shared" si="0"/>
        <v>0</v>
      </c>
      <c r="R12" s="660">
        <f t="shared" si="0"/>
        <v>0</v>
      </c>
      <c r="S12" s="660">
        <f t="shared" si="0"/>
        <v>0</v>
      </c>
      <c r="T12" s="892">
        <f t="shared" si="0"/>
        <v>0</v>
      </c>
    </row>
    <row r="13" spans="1:22" s="38" customFormat="1" ht="13.5" customHeight="1">
      <c r="A13" s="2594" t="s">
        <v>837</v>
      </c>
      <c r="B13" s="2494"/>
      <c r="C13" s="834"/>
      <c r="D13" s="845"/>
      <c r="E13" s="850"/>
      <c r="F13" s="660"/>
      <c r="G13" s="660"/>
      <c r="H13" s="660"/>
      <c r="I13" s="660"/>
      <c r="J13" s="660"/>
      <c r="K13" s="660"/>
      <c r="L13" s="660"/>
      <c r="M13" s="660"/>
      <c r="N13" s="660"/>
      <c r="O13" s="660"/>
      <c r="P13" s="660"/>
      <c r="Q13" s="660"/>
      <c r="R13" s="660"/>
      <c r="S13" s="660"/>
      <c r="T13" s="892"/>
    </row>
    <row r="14" spans="1:22" s="67" customFormat="1" ht="13.5" customHeight="1">
      <c r="A14" s="984" t="s">
        <v>205</v>
      </c>
      <c r="B14" s="700" t="str">
        <f>IF(ISTEXT(Subsidies!F13),Subsidies!F13," ")</f>
        <v xml:space="preserve"> </v>
      </c>
      <c r="C14" s="660">
        <f>'Operating '!D36</f>
        <v>0</v>
      </c>
      <c r="D14" s="835">
        <f>$D$12</f>
        <v>0</v>
      </c>
      <c r="E14" s="850">
        <v>2.5000000000000001E-2</v>
      </c>
      <c r="F14" s="661">
        <f>IF(C14=0,0,C14*D14)</f>
        <v>0</v>
      </c>
      <c r="G14" s="661">
        <f>F14*(1+$E14)</f>
        <v>0</v>
      </c>
      <c r="H14" s="661">
        <f t="shared" ref="H14:T17" si="1">G14*(1+$E14)</f>
        <v>0</v>
      </c>
      <c r="I14" s="661">
        <f t="shared" si="1"/>
        <v>0</v>
      </c>
      <c r="J14" s="661">
        <f t="shared" si="1"/>
        <v>0</v>
      </c>
      <c r="K14" s="661">
        <f t="shared" si="1"/>
        <v>0</v>
      </c>
      <c r="L14" s="661">
        <f t="shared" si="1"/>
        <v>0</v>
      </c>
      <c r="M14" s="661">
        <f t="shared" si="1"/>
        <v>0</v>
      </c>
      <c r="N14" s="661">
        <f t="shared" si="1"/>
        <v>0</v>
      </c>
      <c r="O14" s="661">
        <f t="shared" si="1"/>
        <v>0</v>
      </c>
      <c r="P14" s="661">
        <f t="shared" si="1"/>
        <v>0</v>
      </c>
      <c r="Q14" s="661">
        <f t="shared" si="1"/>
        <v>0</v>
      </c>
      <c r="R14" s="661">
        <f t="shared" si="1"/>
        <v>0</v>
      </c>
      <c r="S14" s="661">
        <f t="shared" si="1"/>
        <v>0</v>
      </c>
      <c r="T14" s="1000">
        <f t="shared" si="1"/>
        <v>0</v>
      </c>
    </row>
    <row r="15" spans="1:22" s="67" customFormat="1" ht="13.5" customHeight="1">
      <c r="A15" s="985" t="s">
        <v>205</v>
      </c>
      <c r="B15" s="705" t="str">
        <f>IF(ISTEXT(Subsidies!K13),Subsidies!K13," ")</f>
        <v xml:space="preserve"> </v>
      </c>
      <c r="C15" s="660">
        <f>'Operating '!D37</f>
        <v>0</v>
      </c>
      <c r="D15" s="835">
        <f>$D$12</f>
        <v>0</v>
      </c>
      <c r="E15" s="850">
        <v>2.5000000000000001E-2</v>
      </c>
      <c r="F15" s="661">
        <f>IF(C15=0,0,C15*D15)</f>
        <v>0</v>
      </c>
      <c r="G15" s="661">
        <f>F15*(1+$E15)</f>
        <v>0</v>
      </c>
      <c r="H15" s="661">
        <f t="shared" si="1"/>
        <v>0</v>
      </c>
      <c r="I15" s="661">
        <f t="shared" si="1"/>
        <v>0</v>
      </c>
      <c r="J15" s="661">
        <f t="shared" si="1"/>
        <v>0</v>
      </c>
      <c r="K15" s="661">
        <f t="shared" si="1"/>
        <v>0</v>
      </c>
      <c r="L15" s="661">
        <f t="shared" si="1"/>
        <v>0</v>
      </c>
      <c r="M15" s="661">
        <f t="shared" si="1"/>
        <v>0</v>
      </c>
      <c r="N15" s="661">
        <f t="shared" si="1"/>
        <v>0</v>
      </c>
      <c r="O15" s="661">
        <f t="shared" si="1"/>
        <v>0</v>
      </c>
      <c r="P15" s="661">
        <f t="shared" si="1"/>
        <v>0</v>
      </c>
      <c r="Q15" s="661">
        <f t="shared" si="1"/>
        <v>0</v>
      </c>
      <c r="R15" s="661">
        <f t="shared" si="1"/>
        <v>0</v>
      </c>
      <c r="S15" s="661">
        <f t="shared" si="1"/>
        <v>0</v>
      </c>
      <c r="T15" s="1000">
        <f t="shared" si="1"/>
        <v>0</v>
      </c>
    </row>
    <row r="16" spans="1:22" s="67" customFormat="1" ht="13.5" customHeight="1">
      <c r="A16" s="2595" t="str">
        <f>'Operating '!C38</f>
        <v>Operating Subsidies</v>
      </c>
      <c r="B16" s="2479"/>
      <c r="C16" s="660">
        <f>'Operating '!D38</f>
        <v>0</v>
      </c>
      <c r="D16" s="835">
        <f>$D$12</f>
        <v>0</v>
      </c>
      <c r="E16" s="850">
        <v>2.5000000000000001E-2</v>
      </c>
      <c r="F16" s="661">
        <f>IF(C16=0,0,C16*D16)</f>
        <v>0</v>
      </c>
      <c r="G16" s="661">
        <f>F16*(1+$E16)</f>
        <v>0</v>
      </c>
      <c r="H16" s="661">
        <f t="shared" si="1"/>
        <v>0</v>
      </c>
      <c r="I16" s="661">
        <f t="shared" si="1"/>
        <v>0</v>
      </c>
      <c r="J16" s="661">
        <f t="shared" si="1"/>
        <v>0</v>
      </c>
      <c r="K16" s="661">
        <f t="shared" si="1"/>
        <v>0</v>
      </c>
      <c r="L16" s="661">
        <f t="shared" si="1"/>
        <v>0</v>
      </c>
      <c r="M16" s="661">
        <f t="shared" si="1"/>
        <v>0</v>
      </c>
      <c r="N16" s="661">
        <f t="shared" si="1"/>
        <v>0</v>
      </c>
      <c r="O16" s="661">
        <f t="shared" si="1"/>
        <v>0</v>
      </c>
      <c r="P16" s="661">
        <f t="shared" si="1"/>
        <v>0</v>
      </c>
      <c r="Q16" s="661">
        <f t="shared" si="1"/>
        <v>0</v>
      </c>
      <c r="R16" s="661">
        <f t="shared" si="1"/>
        <v>0</v>
      </c>
      <c r="S16" s="661">
        <f t="shared" si="1"/>
        <v>0</v>
      </c>
      <c r="T16" s="1000">
        <f t="shared" si="1"/>
        <v>0</v>
      </c>
    </row>
    <row r="17" spans="1:20" s="67" customFormat="1" ht="13.5" customHeight="1">
      <c r="A17" s="2595" t="str">
        <f>'Operating '!C39</f>
        <v>Other: (specify)</v>
      </c>
      <c r="B17" s="2479"/>
      <c r="C17" s="660">
        <f>'Operating '!D39</f>
        <v>0</v>
      </c>
      <c r="D17" s="835">
        <f>$D$12</f>
        <v>0</v>
      </c>
      <c r="E17" s="850">
        <v>2.5000000000000001E-2</v>
      </c>
      <c r="F17" s="661">
        <f>IF(C17=0,0,C17*D17)</f>
        <v>0</v>
      </c>
      <c r="G17" s="661">
        <f>F17*(1+$E17)</f>
        <v>0</v>
      </c>
      <c r="H17" s="661">
        <f t="shared" si="1"/>
        <v>0</v>
      </c>
      <c r="I17" s="661">
        <f t="shared" si="1"/>
        <v>0</v>
      </c>
      <c r="J17" s="661">
        <f t="shared" si="1"/>
        <v>0</v>
      </c>
      <c r="K17" s="661">
        <f t="shared" si="1"/>
        <v>0</v>
      </c>
      <c r="L17" s="661">
        <f t="shared" si="1"/>
        <v>0</v>
      </c>
      <c r="M17" s="661">
        <f t="shared" si="1"/>
        <v>0</v>
      </c>
      <c r="N17" s="661">
        <f t="shared" si="1"/>
        <v>0</v>
      </c>
      <c r="O17" s="661">
        <f t="shared" si="1"/>
        <v>0</v>
      </c>
      <c r="P17" s="661">
        <f t="shared" si="1"/>
        <v>0</v>
      </c>
      <c r="Q17" s="661">
        <f t="shared" si="1"/>
        <v>0</v>
      </c>
      <c r="R17" s="661">
        <f t="shared" si="1"/>
        <v>0</v>
      </c>
      <c r="S17" s="661">
        <f t="shared" si="1"/>
        <v>0</v>
      </c>
      <c r="T17" s="1000">
        <f t="shared" si="1"/>
        <v>0</v>
      </c>
    </row>
    <row r="18" spans="1:20" s="38" customFormat="1" ht="13.5" customHeight="1">
      <c r="A18" s="2596" t="s">
        <v>845</v>
      </c>
      <c r="B18" s="2518"/>
      <c r="C18" s="2518"/>
      <c r="D18" s="2518"/>
      <c r="E18" s="2519"/>
      <c r="F18" s="668">
        <f t="shared" ref="F18:T18" si="2">SUM(F12:F17)</f>
        <v>0</v>
      </c>
      <c r="G18" s="668">
        <f t="shared" si="2"/>
        <v>0</v>
      </c>
      <c r="H18" s="668">
        <f t="shared" si="2"/>
        <v>0</v>
      </c>
      <c r="I18" s="668">
        <f t="shared" si="2"/>
        <v>0</v>
      </c>
      <c r="J18" s="668">
        <f t="shared" si="2"/>
        <v>0</v>
      </c>
      <c r="K18" s="668">
        <f t="shared" si="2"/>
        <v>0</v>
      </c>
      <c r="L18" s="668">
        <f t="shared" si="2"/>
        <v>0</v>
      </c>
      <c r="M18" s="668">
        <f t="shared" si="2"/>
        <v>0</v>
      </c>
      <c r="N18" s="668">
        <f t="shared" si="2"/>
        <v>0</v>
      </c>
      <c r="O18" s="668">
        <f t="shared" si="2"/>
        <v>0</v>
      </c>
      <c r="P18" s="668">
        <f t="shared" si="2"/>
        <v>0</v>
      </c>
      <c r="Q18" s="668">
        <f t="shared" si="2"/>
        <v>0</v>
      </c>
      <c r="R18" s="668">
        <f t="shared" si="2"/>
        <v>0</v>
      </c>
      <c r="S18" s="668">
        <f t="shared" si="2"/>
        <v>0</v>
      </c>
      <c r="T18" s="1001">
        <f t="shared" si="2"/>
        <v>0</v>
      </c>
    </row>
    <row r="19" spans="1:20" s="38" customFormat="1" ht="13.5" customHeight="1">
      <c r="A19" s="986"/>
      <c r="B19" s="851"/>
      <c r="C19" s="653"/>
      <c r="D19" s="653"/>
      <c r="E19" s="852"/>
      <c r="F19" s="660"/>
      <c r="G19" s="660"/>
      <c r="H19" s="660"/>
      <c r="I19" s="660"/>
      <c r="J19" s="660"/>
      <c r="K19" s="660"/>
      <c r="L19" s="660"/>
      <c r="M19" s="660"/>
      <c r="N19" s="660"/>
      <c r="O19" s="660"/>
      <c r="P19" s="660"/>
      <c r="Q19" s="660"/>
      <c r="R19" s="660"/>
      <c r="S19" s="660"/>
      <c r="T19" s="892"/>
    </row>
    <row r="20" spans="1:20" s="38" customFormat="1" ht="13.5" customHeight="1">
      <c r="A20" s="987" t="s">
        <v>25</v>
      </c>
      <c r="B20" s="650"/>
      <c r="C20" s="652" t="s">
        <v>1367</v>
      </c>
      <c r="D20" s="652" t="s">
        <v>998</v>
      </c>
      <c r="E20" s="652" t="s">
        <v>206</v>
      </c>
      <c r="F20" s="988"/>
      <c r="G20" s="665"/>
      <c r="H20" s="665"/>
      <c r="I20" s="665"/>
      <c r="J20" s="665"/>
      <c r="K20" s="665"/>
      <c r="L20" s="665"/>
      <c r="M20" s="665"/>
      <c r="N20" s="665"/>
      <c r="O20" s="665"/>
      <c r="P20" s="665"/>
      <c r="Q20" s="665"/>
      <c r="R20" s="665"/>
      <c r="S20" s="665"/>
      <c r="T20" s="1002"/>
    </row>
    <row r="21" spans="1:20" s="836" customFormat="1" ht="13.5" customHeight="1">
      <c r="A21" s="2597" t="s">
        <v>848</v>
      </c>
      <c r="B21" s="2520"/>
      <c r="C21" s="660">
        <f>'Operating '!D40</f>
        <v>0</v>
      </c>
      <c r="D21" s="837">
        <f>$D$12</f>
        <v>0</v>
      </c>
      <c r="E21" s="840">
        <v>2.5000000000000001E-2</v>
      </c>
      <c r="F21" s="660">
        <f>IF(C21=0,0,C21*D21)</f>
        <v>0</v>
      </c>
      <c r="G21" s="660">
        <f t="shared" ref="G21:T22" si="3">F21*(1+$E21)</f>
        <v>0</v>
      </c>
      <c r="H21" s="660">
        <f t="shared" si="3"/>
        <v>0</v>
      </c>
      <c r="I21" s="660">
        <f t="shared" si="3"/>
        <v>0</v>
      </c>
      <c r="J21" s="660">
        <f t="shared" si="3"/>
        <v>0</v>
      </c>
      <c r="K21" s="660">
        <f t="shared" si="3"/>
        <v>0</v>
      </c>
      <c r="L21" s="660">
        <f t="shared" si="3"/>
        <v>0</v>
      </c>
      <c r="M21" s="660">
        <f t="shared" si="3"/>
        <v>0</v>
      </c>
      <c r="N21" s="660">
        <f t="shared" si="3"/>
        <v>0</v>
      </c>
      <c r="O21" s="660">
        <f t="shared" si="3"/>
        <v>0</v>
      </c>
      <c r="P21" s="660">
        <f t="shared" si="3"/>
        <v>0</v>
      </c>
      <c r="Q21" s="660">
        <f t="shared" si="3"/>
        <v>0</v>
      </c>
      <c r="R21" s="660">
        <f t="shared" si="3"/>
        <v>0</v>
      </c>
      <c r="S21" s="660">
        <f t="shared" si="3"/>
        <v>0</v>
      </c>
      <c r="T21" s="892">
        <f t="shared" si="3"/>
        <v>0</v>
      </c>
    </row>
    <row r="22" spans="1:20" s="836" customFormat="1" ht="13.5" customHeight="1">
      <c r="A22" s="2598" t="s">
        <v>26</v>
      </c>
      <c r="B22" s="2522"/>
      <c r="C22" s="660">
        <f>'Operating '!D41+'Operating '!D42</f>
        <v>0</v>
      </c>
      <c r="D22" s="837">
        <f>$D$12</f>
        <v>0</v>
      </c>
      <c r="E22" s="840">
        <v>2.5000000000000001E-2</v>
      </c>
      <c r="F22" s="848">
        <f>IF(C22=0,0,C22*D22)</f>
        <v>0</v>
      </c>
      <c r="G22" s="839">
        <f t="shared" si="3"/>
        <v>0</v>
      </c>
      <c r="H22" s="839">
        <f t="shared" si="3"/>
        <v>0</v>
      </c>
      <c r="I22" s="839">
        <f t="shared" si="3"/>
        <v>0</v>
      </c>
      <c r="J22" s="839">
        <f t="shared" si="3"/>
        <v>0</v>
      </c>
      <c r="K22" s="839">
        <f t="shared" si="3"/>
        <v>0</v>
      </c>
      <c r="L22" s="839">
        <f t="shared" si="3"/>
        <v>0</v>
      </c>
      <c r="M22" s="839">
        <f t="shared" si="3"/>
        <v>0</v>
      </c>
      <c r="N22" s="839">
        <f t="shared" si="3"/>
        <v>0</v>
      </c>
      <c r="O22" s="839">
        <f t="shared" si="3"/>
        <v>0</v>
      </c>
      <c r="P22" s="839">
        <f t="shared" si="3"/>
        <v>0</v>
      </c>
      <c r="Q22" s="839">
        <f t="shared" si="3"/>
        <v>0</v>
      </c>
      <c r="R22" s="839">
        <f t="shared" si="3"/>
        <v>0</v>
      </c>
      <c r="S22" s="839">
        <f t="shared" si="3"/>
        <v>0</v>
      </c>
      <c r="T22" s="1003">
        <f t="shared" si="3"/>
        <v>0</v>
      </c>
    </row>
    <row r="23" spans="1:20" s="836" customFormat="1" ht="13.5" customHeight="1">
      <c r="A23" s="2599" t="s">
        <v>846</v>
      </c>
      <c r="B23" s="2523"/>
      <c r="C23" s="2523"/>
      <c r="D23" s="2523"/>
      <c r="E23" s="2524"/>
      <c r="F23" s="668">
        <f t="shared" ref="F23:T23" si="4">SUM(F21:F22)</f>
        <v>0</v>
      </c>
      <c r="G23" s="668">
        <f t="shared" si="4"/>
        <v>0</v>
      </c>
      <c r="H23" s="668">
        <f t="shared" si="4"/>
        <v>0</v>
      </c>
      <c r="I23" s="668">
        <f t="shared" si="4"/>
        <v>0</v>
      </c>
      <c r="J23" s="668">
        <f t="shared" si="4"/>
        <v>0</v>
      </c>
      <c r="K23" s="668">
        <f t="shared" si="4"/>
        <v>0</v>
      </c>
      <c r="L23" s="668">
        <f t="shared" si="4"/>
        <v>0</v>
      </c>
      <c r="M23" s="668">
        <f t="shared" si="4"/>
        <v>0</v>
      </c>
      <c r="N23" s="668">
        <f t="shared" si="4"/>
        <v>0</v>
      </c>
      <c r="O23" s="668">
        <f t="shared" si="4"/>
        <v>0</v>
      </c>
      <c r="P23" s="668">
        <f t="shared" si="4"/>
        <v>0</v>
      </c>
      <c r="Q23" s="668">
        <f t="shared" si="4"/>
        <v>0</v>
      </c>
      <c r="R23" s="668">
        <f t="shared" si="4"/>
        <v>0</v>
      </c>
      <c r="S23" s="668">
        <f t="shared" si="4"/>
        <v>0</v>
      </c>
      <c r="T23" s="1001">
        <f t="shared" si="4"/>
        <v>0</v>
      </c>
    </row>
    <row r="24" spans="1:20" s="836" customFormat="1" ht="13.5" customHeight="1">
      <c r="A24" s="2600" t="s">
        <v>847</v>
      </c>
      <c r="B24" s="2500"/>
      <c r="C24" s="2500"/>
      <c r="D24" s="2500"/>
      <c r="E24" s="2501"/>
      <c r="F24" s="989">
        <f t="shared" ref="F24:T24" si="5">F18+F23</f>
        <v>0</v>
      </c>
      <c r="G24" s="668">
        <f t="shared" si="5"/>
        <v>0</v>
      </c>
      <c r="H24" s="668">
        <f t="shared" si="5"/>
        <v>0</v>
      </c>
      <c r="I24" s="668">
        <f t="shared" si="5"/>
        <v>0</v>
      </c>
      <c r="J24" s="668">
        <f t="shared" si="5"/>
        <v>0</v>
      </c>
      <c r="K24" s="668">
        <f t="shared" si="5"/>
        <v>0</v>
      </c>
      <c r="L24" s="668">
        <f t="shared" si="5"/>
        <v>0</v>
      </c>
      <c r="M24" s="668">
        <f t="shared" si="5"/>
        <v>0</v>
      </c>
      <c r="N24" s="668">
        <f t="shared" si="5"/>
        <v>0</v>
      </c>
      <c r="O24" s="668">
        <f t="shared" si="5"/>
        <v>0</v>
      </c>
      <c r="P24" s="668">
        <f t="shared" si="5"/>
        <v>0</v>
      </c>
      <c r="Q24" s="668">
        <f t="shared" si="5"/>
        <v>0</v>
      </c>
      <c r="R24" s="668">
        <f t="shared" si="5"/>
        <v>0</v>
      </c>
      <c r="S24" s="668">
        <f t="shared" si="5"/>
        <v>0</v>
      </c>
      <c r="T24" s="1001">
        <f t="shared" si="5"/>
        <v>0</v>
      </c>
    </row>
    <row r="25" spans="1:20" s="38" customFormat="1" ht="13.5" customHeight="1">
      <c r="A25" s="990" t="s">
        <v>434</v>
      </c>
      <c r="B25" s="654"/>
      <c r="C25" s="653"/>
      <c r="D25" s="653"/>
      <c r="E25" s="653"/>
      <c r="F25" s="991"/>
      <c r="G25" s="660"/>
      <c r="H25" s="660"/>
      <c r="I25" s="660"/>
      <c r="J25" s="660"/>
      <c r="K25" s="660"/>
      <c r="L25" s="660"/>
      <c r="M25" s="660"/>
      <c r="N25" s="660"/>
      <c r="O25" s="660"/>
      <c r="P25" s="660"/>
      <c r="Q25" s="660"/>
      <c r="R25" s="660"/>
      <c r="S25" s="660"/>
      <c r="T25" s="892"/>
    </row>
    <row r="26" spans="1:20" s="38" customFormat="1" ht="13.5" customHeight="1">
      <c r="A26" s="987" t="s">
        <v>28</v>
      </c>
      <c r="B26" s="650"/>
      <c r="C26" s="655"/>
      <c r="D26" s="652"/>
      <c r="E26" s="652"/>
      <c r="F26" s="992"/>
      <c r="G26" s="670"/>
      <c r="H26" s="670"/>
      <c r="I26" s="670"/>
      <c r="J26" s="670"/>
      <c r="K26" s="670"/>
      <c r="L26" s="670"/>
      <c r="M26" s="670"/>
      <c r="N26" s="670"/>
      <c r="O26" s="670"/>
      <c r="P26" s="670"/>
      <c r="Q26" s="670"/>
      <c r="R26" s="670"/>
      <c r="S26" s="670"/>
      <c r="T26" s="1004"/>
    </row>
    <row r="27" spans="1:20" s="836" customFormat="1" ht="13.5" customHeight="1">
      <c r="A27" s="2589" t="s">
        <v>1402</v>
      </c>
      <c r="B27" s="2499"/>
      <c r="C27" s="837"/>
      <c r="D27" s="837"/>
      <c r="E27" s="840"/>
      <c r="F27" s="847">
        <v>0.1</v>
      </c>
      <c r="G27" s="847">
        <v>0.1</v>
      </c>
      <c r="H27" s="847">
        <v>0.1</v>
      </c>
      <c r="I27" s="847">
        <v>0.1</v>
      </c>
      <c r="J27" s="847">
        <v>0.1</v>
      </c>
      <c r="K27" s="847">
        <v>0.1</v>
      </c>
      <c r="L27" s="847">
        <v>0.1</v>
      </c>
      <c r="M27" s="847">
        <v>0.1</v>
      </c>
      <c r="N27" s="847">
        <v>0.1</v>
      </c>
      <c r="O27" s="847">
        <v>0.1</v>
      </c>
      <c r="P27" s="847">
        <v>0.1</v>
      </c>
      <c r="Q27" s="847">
        <v>0.1</v>
      </c>
      <c r="R27" s="847">
        <v>0.1</v>
      </c>
      <c r="S27" s="847">
        <v>0.1</v>
      </c>
      <c r="T27" s="1005">
        <v>0.1</v>
      </c>
    </row>
    <row r="28" spans="1:20" s="836" customFormat="1" ht="13.5" customHeight="1">
      <c r="A28" s="2589" t="s">
        <v>1401</v>
      </c>
      <c r="B28" s="2499"/>
      <c r="C28" s="837"/>
      <c r="D28" s="837"/>
      <c r="E28" s="837"/>
      <c r="F28" s="993">
        <f t="shared" ref="F28:T28" si="6">F12*F27</f>
        <v>0</v>
      </c>
      <c r="G28" s="839">
        <f t="shared" si="6"/>
        <v>0</v>
      </c>
      <c r="H28" s="839">
        <f t="shared" si="6"/>
        <v>0</v>
      </c>
      <c r="I28" s="839">
        <f t="shared" si="6"/>
        <v>0</v>
      </c>
      <c r="J28" s="839">
        <f t="shared" si="6"/>
        <v>0</v>
      </c>
      <c r="K28" s="839">
        <f t="shared" si="6"/>
        <v>0</v>
      </c>
      <c r="L28" s="839">
        <f t="shared" si="6"/>
        <v>0</v>
      </c>
      <c r="M28" s="839">
        <f t="shared" si="6"/>
        <v>0</v>
      </c>
      <c r="N28" s="839">
        <f t="shared" si="6"/>
        <v>0</v>
      </c>
      <c r="O28" s="839">
        <f t="shared" si="6"/>
        <v>0</v>
      </c>
      <c r="P28" s="839">
        <f t="shared" si="6"/>
        <v>0</v>
      </c>
      <c r="Q28" s="839">
        <f t="shared" si="6"/>
        <v>0</v>
      </c>
      <c r="R28" s="839">
        <f t="shared" si="6"/>
        <v>0</v>
      </c>
      <c r="S28" s="839">
        <f t="shared" si="6"/>
        <v>0</v>
      </c>
      <c r="T28" s="1003">
        <f t="shared" si="6"/>
        <v>0</v>
      </c>
    </row>
    <row r="29" spans="1:20" s="836" customFormat="1" ht="13.5" customHeight="1">
      <c r="A29" s="2594" t="s">
        <v>837</v>
      </c>
      <c r="B29" s="2494"/>
      <c r="C29" s="837"/>
      <c r="D29" s="837"/>
      <c r="E29" s="840">
        <f>'Operating '!D47</f>
        <v>0.05</v>
      </c>
      <c r="F29" s="839">
        <f>$E$29*(F14+F15)</f>
        <v>0</v>
      </c>
      <c r="G29" s="839">
        <f t="shared" ref="G29:T29" si="7">$E$29*(G14+G15)</f>
        <v>0</v>
      </c>
      <c r="H29" s="839">
        <f t="shared" si="7"/>
        <v>0</v>
      </c>
      <c r="I29" s="839">
        <f t="shared" si="7"/>
        <v>0</v>
      </c>
      <c r="J29" s="839">
        <f t="shared" si="7"/>
        <v>0</v>
      </c>
      <c r="K29" s="839">
        <f t="shared" si="7"/>
        <v>0</v>
      </c>
      <c r="L29" s="839">
        <f t="shared" si="7"/>
        <v>0</v>
      </c>
      <c r="M29" s="839">
        <f t="shared" si="7"/>
        <v>0</v>
      </c>
      <c r="N29" s="839">
        <f t="shared" si="7"/>
        <v>0</v>
      </c>
      <c r="O29" s="839">
        <f t="shared" si="7"/>
        <v>0</v>
      </c>
      <c r="P29" s="839">
        <f t="shared" si="7"/>
        <v>0</v>
      </c>
      <c r="Q29" s="839">
        <f t="shared" si="7"/>
        <v>0</v>
      </c>
      <c r="R29" s="839">
        <f t="shared" si="7"/>
        <v>0</v>
      </c>
      <c r="S29" s="839">
        <f t="shared" si="7"/>
        <v>0</v>
      </c>
      <c r="T29" s="1003">
        <f t="shared" si="7"/>
        <v>0</v>
      </c>
    </row>
    <row r="30" spans="1:20" s="836" customFormat="1" ht="13.5" customHeight="1">
      <c r="A30" s="2590" t="str">
        <f>A17</f>
        <v>Other: (specify)</v>
      </c>
      <c r="B30" s="2499"/>
      <c r="C30" s="837"/>
      <c r="D30" s="837"/>
      <c r="E30" s="837">
        <f>'Operating '!D48</f>
        <v>0.05</v>
      </c>
      <c r="F30" s="993">
        <f t="shared" ref="F30:T30" si="8">+$E30*F17</f>
        <v>0</v>
      </c>
      <c r="G30" s="839">
        <f t="shared" si="8"/>
        <v>0</v>
      </c>
      <c r="H30" s="839">
        <f t="shared" si="8"/>
        <v>0</v>
      </c>
      <c r="I30" s="839">
        <f t="shared" si="8"/>
        <v>0</v>
      </c>
      <c r="J30" s="839">
        <f t="shared" si="8"/>
        <v>0</v>
      </c>
      <c r="K30" s="839">
        <f t="shared" si="8"/>
        <v>0</v>
      </c>
      <c r="L30" s="839">
        <f t="shared" si="8"/>
        <v>0</v>
      </c>
      <c r="M30" s="839">
        <f t="shared" si="8"/>
        <v>0</v>
      </c>
      <c r="N30" s="839">
        <f t="shared" si="8"/>
        <v>0</v>
      </c>
      <c r="O30" s="839">
        <f t="shared" si="8"/>
        <v>0</v>
      </c>
      <c r="P30" s="839">
        <f t="shared" si="8"/>
        <v>0</v>
      </c>
      <c r="Q30" s="839">
        <f t="shared" si="8"/>
        <v>0</v>
      </c>
      <c r="R30" s="839">
        <f t="shared" si="8"/>
        <v>0</v>
      </c>
      <c r="S30" s="839">
        <f t="shared" si="8"/>
        <v>0</v>
      </c>
      <c r="T30" s="1003">
        <f t="shared" si="8"/>
        <v>0</v>
      </c>
    </row>
    <row r="31" spans="1:20" s="836" customFormat="1" ht="13.5" customHeight="1">
      <c r="A31" s="2590" t="s">
        <v>999</v>
      </c>
      <c r="B31" s="2499"/>
      <c r="C31" s="837"/>
      <c r="D31" s="837"/>
      <c r="E31" s="837">
        <f>'Operating '!D49</f>
        <v>0.05</v>
      </c>
      <c r="F31" s="993">
        <f t="shared" ref="F31:T31" si="9">+$E31*(F21+F22)</f>
        <v>0</v>
      </c>
      <c r="G31" s="839">
        <f t="shared" si="9"/>
        <v>0</v>
      </c>
      <c r="H31" s="839">
        <f t="shared" si="9"/>
        <v>0</v>
      </c>
      <c r="I31" s="839">
        <f t="shared" si="9"/>
        <v>0</v>
      </c>
      <c r="J31" s="839">
        <f t="shared" si="9"/>
        <v>0</v>
      </c>
      <c r="K31" s="839">
        <f t="shared" si="9"/>
        <v>0</v>
      </c>
      <c r="L31" s="839">
        <f t="shared" si="9"/>
        <v>0</v>
      </c>
      <c r="M31" s="839">
        <f t="shared" si="9"/>
        <v>0</v>
      </c>
      <c r="N31" s="839">
        <f t="shared" si="9"/>
        <v>0</v>
      </c>
      <c r="O31" s="839">
        <f t="shared" si="9"/>
        <v>0</v>
      </c>
      <c r="P31" s="839">
        <f t="shared" si="9"/>
        <v>0</v>
      </c>
      <c r="Q31" s="839">
        <f t="shared" si="9"/>
        <v>0</v>
      </c>
      <c r="R31" s="839">
        <f t="shared" si="9"/>
        <v>0</v>
      </c>
      <c r="S31" s="839">
        <f t="shared" si="9"/>
        <v>0</v>
      </c>
      <c r="T31" s="1003">
        <f t="shared" si="9"/>
        <v>0</v>
      </c>
    </row>
    <row r="32" spans="1:20" s="836" customFormat="1" ht="13.5" customHeight="1">
      <c r="A32" s="2591" t="s">
        <v>212</v>
      </c>
      <c r="B32" s="2514"/>
      <c r="C32" s="2514"/>
      <c r="D32" s="2514"/>
      <c r="E32" s="2515"/>
      <c r="F32" s="994">
        <f t="shared" ref="F32:T32" si="10">SUM(F28:F31)</f>
        <v>0</v>
      </c>
      <c r="G32" s="672">
        <f t="shared" si="10"/>
        <v>0</v>
      </c>
      <c r="H32" s="672">
        <f t="shared" si="10"/>
        <v>0</v>
      </c>
      <c r="I32" s="672">
        <f t="shared" si="10"/>
        <v>0</v>
      </c>
      <c r="J32" s="672">
        <f t="shared" si="10"/>
        <v>0</v>
      </c>
      <c r="K32" s="672">
        <f t="shared" si="10"/>
        <v>0</v>
      </c>
      <c r="L32" s="672">
        <f t="shared" si="10"/>
        <v>0</v>
      </c>
      <c r="M32" s="672">
        <f t="shared" si="10"/>
        <v>0</v>
      </c>
      <c r="N32" s="672">
        <f t="shared" si="10"/>
        <v>0</v>
      </c>
      <c r="O32" s="672">
        <f t="shared" si="10"/>
        <v>0</v>
      </c>
      <c r="P32" s="672">
        <f t="shared" si="10"/>
        <v>0</v>
      </c>
      <c r="Q32" s="672">
        <f t="shared" si="10"/>
        <v>0</v>
      </c>
      <c r="R32" s="672">
        <f t="shared" si="10"/>
        <v>0</v>
      </c>
      <c r="S32" s="672">
        <f t="shared" si="10"/>
        <v>0</v>
      </c>
      <c r="T32" s="1006">
        <f t="shared" si="10"/>
        <v>0</v>
      </c>
    </row>
    <row r="33" spans="1:20" s="836" customFormat="1" ht="13.5" customHeight="1">
      <c r="A33" s="2591" t="s">
        <v>134</v>
      </c>
      <c r="B33" s="2514"/>
      <c r="C33" s="2514"/>
      <c r="D33" s="2514"/>
      <c r="E33" s="2515"/>
      <c r="F33" s="989">
        <f t="shared" ref="F33:T33" si="11">F24-F32</f>
        <v>0</v>
      </c>
      <c r="G33" s="668">
        <f t="shared" si="11"/>
        <v>0</v>
      </c>
      <c r="H33" s="668">
        <f t="shared" si="11"/>
        <v>0</v>
      </c>
      <c r="I33" s="668">
        <f t="shared" si="11"/>
        <v>0</v>
      </c>
      <c r="J33" s="668">
        <f t="shared" si="11"/>
        <v>0</v>
      </c>
      <c r="K33" s="668">
        <f t="shared" si="11"/>
        <v>0</v>
      </c>
      <c r="L33" s="668">
        <f t="shared" si="11"/>
        <v>0</v>
      </c>
      <c r="M33" s="668">
        <f t="shared" si="11"/>
        <v>0</v>
      </c>
      <c r="N33" s="668">
        <f t="shared" si="11"/>
        <v>0</v>
      </c>
      <c r="O33" s="668">
        <f t="shared" si="11"/>
        <v>0</v>
      </c>
      <c r="P33" s="668">
        <f t="shared" si="11"/>
        <v>0</v>
      </c>
      <c r="Q33" s="668">
        <f t="shared" si="11"/>
        <v>0</v>
      </c>
      <c r="R33" s="668">
        <f t="shared" si="11"/>
        <v>0</v>
      </c>
      <c r="S33" s="668">
        <f t="shared" si="11"/>
        <v>0</v>
      </c>
      <c r="T33" s="1001">
        <f t="shared" si="11"/>
        <v>0</v>
      </c>
    </row>
    <row r="34" spans="1:20" s="38" customFormat="1" ht="13.5" customHeight="1">
      <c r="A34" s="995"/>
      <c r="C34" s="656"/>
      <c r="D34" s="656"/>
      <c r="E34" s="656"/>
      <c r="F34" s="989"/>
      <c r="G34" s="668"/>
      <c r="H34" s="668"/>
      <c r="I34" s="668"/>
      <c r="J34" s="668"/>
      <c r="K34" s="668"/>
      <c r="L34" s="668"/>
      <c r="M34" s="668"/>
      <c r="N34" s="668"/>
      <c r="O34" s="668"/>
      <c r="P34" s="668"/>
      <c r="Q34" s="668"/>
      <c r="R34" s="668"/>
      <c r="S34" s="668"/>
      <c r="T34" s="1001"/>
    </row>
    <row r="35" spans="1:20" s="38" customFormat="1" ht="13.5" customHeight="1">
      <c r="A35" s="987" t="s">
        <v>1387</v>
      </c>
      <c r="B35" s="657"/>
      <c r="C35" s="652" t="s">
        <v>1367</v>
      </c>
      <c r="D35" s="652" t="s">
        <v>998</v>
      </c>
      <c r="E35" s="652" t="s">
        <v>206</v>
      </c>
      <c r="F35" s="996"/>
      <c r="G35" s="666"/>
      <c r="H35" s="666"/>
      <c r="I35" s="666"/>
      <c r="J35" s="666"/>
      <c r="K35" s="666"/>
      <c r="L35" s="666"/>
      <c r="M35" s="666"/>
      <c r="N35" s="666"/>
      <c r="O35" s="666"/>
      <c r="P35" s="666"/>
      <c r="Q35" s="666"/>
      <c r="R35" s="666"/>
      <c r="S35" s="666"/>
      <c r="T35" s="1007"/>
    </row>
    <row r="36" spans="1:20" s="836" customFormat="1" ht="24" customHeight="1">
      <c r="A36" s="2592" t="s">
        <v>1078</v>
      </c>
      <c r="B36" s="2513"/>
      <c r="C36" s="660">
        <f>'Operating '!D110-'Operating '!D92-'Operating '!D108</f>
        <v>0</v>
      </c>
      <c r="D36" s="837">
        <f>$D$12</f>
        <v>0</v>
      </c>
      <c r="E36" s="840">
        <v>3.5000000000000003E-2</v>
      </c>
      <c r="F36" s="660">
        <f>IF(C36=0,0,C36*D36)</f>
        <v>0</v>
      </c>
      <c r="G36" s="660">
        <f t="shared" ref="G36:T39" si="12">F36*(1+$E36)</f>
        <v>0</v>
      </c>
      <c r="H36" s="660">
        <f t="shared" si="12"/>
        <v>0</v>
      </c>
      <c r="I36" s="660">
        <f t="shared" si="12"/>
        <v>0</v>
      </c>
      <c r="J36" s="660">
        <f t="shared" si="12"/>
        <v>0</v>
      </c>
      <c r="K36" s="660">
        <f t="shared" si="12"/>
        <v>0</v>
      </c>
      <c r="L36" s="660">
        <f t="shared" si="12"/>
        <v>0</v>
      </c>
      <c r="M36" s="660">
        <f t="shared" si="12"/>
        <v>0</v>
      </c>
      <c r="N36" s="660">
        <f t="shared" si="12"/>
        <v>0</v>
      </c>
      <c r="O36" s="660">
        <f t="shared" si="12"/>
        <v>0</v>
      </c>
      <c r="P36" s="660">
        <f t="shared" si="12"/>
        <v>0</v>
      </c>
      <c r="Q36" s="660">
        <f t="shared" si="12"/>
        <v>0</v>
      </c>
      <c r="R36" s="660">
        <f t="shared" si="12"/>
        <v>0</v>
      </c>
      <c r="S36" s="660">
        <f t="shared" si="12"/>
        <v>0</v>
      </c>
      <c r="T36" s="892">
        <f t="shared" si="12"/>
        <v>0</v>
      </c>
    </row>
    <row r="37" spans="1:20" s="836" customFormat="1" ht="13.5" customHeight="1">
      <c r="A37" s="2592" t="s">
        <v>902</v>
      </c>
      <c r="B37" s="2513"/>
      <c r="C37" s="660">
        <f>'Operating '!D92</f>
        <v>0</v>
      </c>
      <c r="D37" s="837">
        <f>$D$12</f>
        <v>0</v>
      </c>
      <c r="E37" s="840">
        <v>0.02</v>
      </c>
      <c r="F37" s="660">
        <f>IF(C37=0,0,C37*D37)</f>
        <v>0</v>
      </c>
      <c r="G37" s="660">
        <f t="shared" si="12"/>
        <v>0</v>
      </c>
      <c r="H37" s="660">
        <f t="shared" si="12"/>
        <v>0</v>
      </c>
      <c r="I37" s="660">
        <f t="shared" si="12"/>
        <v>0</v>
      </c>
      <c r="J37" s="660">
        <f t="shared" si="12"/>
        <v>0</v>
      </c>
      <c r="K37" s="660">
        <f t="shared" si="12"/>
        <v>0</v>
      </c>
      <c r="L37" s="660">
        <f t="shared" si="12"/>
        <v>0</v>
      </c>
      <c r="M37" s="660">
        <f t="shared" si="12"/>
        <v>0</v>
      </c>
      <c r="N37" s="660">
        <f t="shared" si="12"/>
        <v>0</v>
      </c>
      <c r="O37" s="660">
        <f t="shared" si="12"/>
        <v>0</v>
      </c>
      <c r="P37" s="660">
        <f t="shared" si="12"/>
        <v>0</v>
      </c>
      <c r="Q37" s="660">
        <f t="shared" si="12"/>
        <v>0</v>
      </c>
      <c r="R37" s="660">
        <f t="shared" si="12"/>
        <v>0</v>
      </c>
      <c r="S37" s="660">
        <f t="shared" si="12"/>
        <v>0</v>
      </c>
      <c r="T37" s="892">
        <f t="shared" si="12"/>
        <v>0</v>
      </c>
    </row>
    <row r="38" spans="1:20" s="836" customFormat="1" ht="24.75" customHeight="1">
      <c r="A38" s="2592" t="s">
        <v>1072</v>
      </c>
      <c r="B38" s="2513"/>
      <c r="C38" s="660">
        <f>'Operating '!D112</f>
        <v>0</v>
      </c>
      <c r="D38" s="837">
        <f>$D$12</f>
        <v>0</v>
      </c>
      <c r="E38" s="840">
        <f>'Cash Flow'!C37</f>
        <v>0</v>
      </c>
      <c r="F38" s="660">
        <f>IF(C38=0,0,C38*D38)</f>
        <v>0</v>
      </c>
      <c r="G38" s="660">
        <f t="shared" si="12"/>
        <v>0</v>
      </c>
      <c r="H38" s="660">
        <f t="shared" si="12"/>
        <v>0</v>
      </c>
      <c r="I38" s="660">
        <f t="shared" si="12"/>
        <v>0</v>
      </c>
      <c r="J38" s="660">
        <f t="shared" si="12"/>
        <v>0</v>
      </c>
      <c r="K38" s="660">
        <f t="shared" si="12"/>
        <v>0</v>
      </c>
      <c r="L38" s="660">
        <f t="shared" si="12"/>
        <v>0</v>
      </c>
      <c r="M38" s="660">
        <f t="shared" si="12"/>
        <v>0</v>
      </c>
      <c r="N38" s="660">
        <f t="shared" si="12"/>
        <v>0</v>
      </c>
      <c r="O38" s="660">
        <f t="shared" si="12"/>
        <v>0</v>
      </c>
      <c r="P38" s="660">
        <f t="shared" si="12"/>
        <v>0</v>
      </c>
      <c r="Q38" s="660">
        <f t="shared" si="12"/>
        <v>0</v>
      </c>
      <c r="R38" s="660">
        <f t="shared" si="12"/>
        <v>0</v>
      </c>
      <c r="S38" s="660">
        <f t="shared" si="12"/>
        <v>0</v>
      </c>
      <c r="T38" s="892">
        <f t="shared" si="12"/>
        <v>0</v>
      </c>
    </row>
    <row r="39" spans="1:20" s="836" customFormat="1" ht="13.5" customHeight="1">
      <c r="A39" s="2592" t="s">
        <v>1079</v>
      </c>
      <c r="B39" s="2513"/>
      <c r="C39" s="833">
        <f>'Operating '!D113+'Operating '!D114+'Operating '!D115</f>
        <v>0</v>
      </c>
      <c r="D39" s="837">
        <f>$D$12</f>
        <v>0</v>
      </c>
      <c r="E39" s="840">
        <f>'Cash Flow'!C38</f>
        <v>0</v>
      </c>
      <c r="F39" s="660">
        <f>IF(D39=0,0,C39*D39)</f>
        <v>0</v>
      </c>
      <c r="G39" s="660">
        <f t="shared" si="12"/>
        <v>0</v>
      </c>
      <c r="H39" s="660">
        <f t="shared" si="12"/>
        <v>0</v>
      </c>
      <c r="I39" s="660">
        <f t="shared" si="12"/>
        <v>0</v>
      </c>
      <c r="J39" s="660">
        <f t="shared" si="12"/>
        <v>0</v>
      </c>
      <c r="K39" s="660">
        <f t="shared" si="12"/>
        <v>0</v>
      </c>
      <c r="L39" s="660">
        <f t="shared" si="12"/>
        <v>0</v>
      </c>
      <c r="M39" s="660">
        <f t="shared" si="12"/>
        <v>0</v>
      </c>
      <c r="N39" s="660">
        <f t="shared" si="12"/>
        <v>0</v>
      </c>
      <c r="O39" s="660">
        <f t="shared" si="12"/>
        <v>0</v>
      </c>
      <c r="P39" s="660">
        <f t="shared" si="12"/>
        <v>0</v>
      </c>
      <c r="Q39" s="660">
        <f t="shared" si="12"/>
        <v>0</v>
      </c>
      <c r="R39" s="660">
        <f t="shared" si="12"/>
        <v>0</v>
      </c>
      <c r="S39" s="660">
        <f t="shared" si="12"/>
        <v>0</v>
      </c>
      <c r="T39" s="892">
        <f t="shared" si="12"/>
        <v>0</v>
      </c>
    </row>
    <row r="40" spans="1:20" s="675" customFormat="1">
      <c r="A40" s="2593" t="s">
        <v>1080</v>
      </c>
      <c r="B40" s="2511"/>
      <c r="C40" s="2511"/>
      <c r="D40" s="2511"/>
      <c r="E40" s="2512"/>
      <c r="F40" s="843">
        <f t="shared" ref="F40:T40" si="13">SUM(F36:F39)</f>
        <v>0</v>
      </c>
      <c r="G40" s="843">
        <f t="shared" si="13"/>
        <v>0</v>
      </c>
      <c r="H40" s="843">
        <f t="shared" si="13"/>
        <v>0</v>
      </c>
      <c r="I40" s="843">
        <f t="shared" si="13"/>
        <v>0</v>
      </c>
      <c r="J40" s="843">
        <f t="shared" si="13"/>
        <v>0</v>
      </c>
      <c r="K40" s="843">
        <f t="shared" si="13"/>
        <v>0</v>
      </c>
      <c r="L40" s="843">
        <f t="shared" si="13"/>
        <v>0</v>
      </c>
      <c r="M40" s="843">
        <f t="shared" si="13"/>
        <v>0</v>
      </c>
      <c r="N40" s="843">
        <f t="shared" si="13"/>
        <v>0</v>
      </c>
      <c r="O40" s="843">
        <f t="shared" si="13"/>
        <v>0</v>
      </c>
      <c r="P40" s="843">
        <f t="shared" si="13"/>
        <v>0</v>
      </c>
      <c r="Q40" s="843">
        <f t="shared" si="13"/>
        <v>0</v>
      </c>
      <c r="R40" s="843">
        <f t="shared" si="13"/>
        <v>0</v>
      </c>
      <c r="S40" s="843">
        <f t="shared" si="13"/>
        <v>0</v>
      </c>
      <c r="T40" s="1008">
        <f t="shared" si="13"/>
        <v>0</v>
      </c>
    </row>
    <row r="41" spans="1:20" s="836" customFormat="1">
      <c r="A41" s="2588" t="s">
        <v>1409</v>
      </c>
      <c r="B41" s="2507"/>
      <c r="C41" s="2507"/>
      <c r="D41" s="2507"/>
      <c r="E41" s="2508"/>
      <c r="F41" s="899">
        <f t="shared" ref="F41:T41" si="14">F33-F40</f>
        <v>0</v>
      </c>
      <c r="G41" s="900">
        <f t="shared" si="14"/>
        <v>0</v>
      </c>
      <c r="H41" s="900">
        <f t="shared" si="14"/>
        <v>0</v>
      </c>
      <c r="I41" s="900">
        <f t="shared" si="14"/>
        <v>0</v>
      </c>
      <c r="J41" s="900">
        <f t="shared" si="14"/>
        <v>0</v>
      </c>
      <c r="K41" s="900">
        <f t="shared" si="14"/>
        <v>0</v>
      </c>
      <c r="L41" s="900">
        <f t="shared" si="14"/>
        <v>0</v>
      </c>
      <c r="M41" s="900">
        <f t="shared" si="14"/>
        <v>0</v>
      </c>
      <c r="N41" s="900">
        <f t="shared" si="14"/>
        <v>0</v>
      </c>
      <c r="O41" s="900">
        <f t="shared" si="14"/>
        <v>0</v>
      </c>
      <c r="P41" s="900">
        <f t="shared" si="14"/>
        <v>0</v>
      </c>
      <c r="Q41" s="900">
        <f t="shared" si="14"/>
        <v>0</v>
      </c>
      <c r="R41" s="900">
        <f t="shared" si="14"/>
        <v>0</v>
      </c>
      <c r="S41" s="900">
        <f t="shared" si="14"/>
        <v>0</v>
      </c>
      <c r="T41" s="1009">
        <f t="shared" si="14"/>
        <v>0</v>
      </c>
    </row>
    <row r="42" spans="1:20" s="74" customFormat="1" ht="13.5" customHeight="1">
      <c r="A42" s="997" t="s">
        <v>1397</v>
      </c>
      <c r="B42" s="738"/>
      <c r="C42" s="749"/>
      <c r="D42" s="998"/>
      <c r="E42" s="751"/>
      <c r="F42" s="751"/>
      <c r="G42" s="751"/>
      <c r="H42" s="751"/>
      <c r="I42" s="751"/>
      <c r="J42" s="751"/>
      <c r="K42" s="751"/>
      <c r="L42" s="751"/>
      <c r="M42" s="751"/>
      <c r="N42" s="751"/>
      <c r="O42" s="751"/>
      <c r="P42" s="751"/>
      <c r="Q42" s="751"/>
      <c r="R42" s="751"/>
      <c r="S42" s="752"/>
      <c r="T42" s="1010"/>
    </row>
    <row r="43" spans="1:20" s="38" customFormat="1" ht="13.5" customHeight="1">
      <c r="A43" s="2555" t="s">
        <v>1398</v>
      </c>
      <c r="B43" s="2556"/>
      <c r="C43" s="2556"/>
      <c r="D43" s="2556"/>
      <c r="E43" s="2557"/>
      <c r="F43" s="844">
        <f t="shared" ref="F43:T43" si="15">IF(F41&lt;0,MIN($C$9,-F41),0)</f>
        <v>0</v>
      </c>
      <c r="G43" s="844">
        <f t="shared" si="15"/>
        <v>0</v>
      </c>
      <c r="H43" s="844">
        <f t="shared" si="15"/>
        <v>0</v>
      </c>
      <c r="I43" s="844">
        <f t="shared" si="15"/>
        <v>0</v>
      </c>
      <c r="J43" s="844">
        <f t="shared" si="15"/>
        <v>0</v>
      </c>
      <c r="K43" s="844">
        <f t="shared" si="15"/>
        <v>0</v>
      </c>
      <c r="L43" s="844">
        <f t="shared" si="15"/>
        <v>0</v>
      </c>
      <c r="M43" s="844">
        <f t="shared" si="15"/>
        <v>0</v>
      </c>
      <c r="N43" s="844">
        <f t="shared" si="15"/>
        <v>0</v>
      </c>
      <c r="O43" s="844">
        <f t="shared" si="15"/>
        <v>0</v>
      </c>
      <c r="P43" s="844">
        <f t="shared" si="15"/>
        <v>0</v>
      </c>
      <c r="Q43" s="844">
        <f t="shared" si="15"/>
        <v>0</v>
      </c>
      <c r="R43" s="844">
        <f t="shared" si="15"/>
        <v>0</v>
      </c>
      <c r="S43" s="844">
        <f t="shared" si="15"/>
        <v>0</v>
      </c>
      <c r="T43" s="891">
        <f t="shared" si="15"/>
        <v>0</v>
      </c>
    </row>
    <row r="44" spans="1:20" s="38" customFormat="1" ht="13.5" customHeight="1">
      <c r="A44" s="2586" t="s">
        <v>1384</v>
      </c>
      <c r="B44" s="2576"/>
      <c r="C44" s="2576"/>
      <c r="D44" s="2576"/>
      <c r="E44" s="2577"/>
      <c r="F44" s="660">
        <f>F43</f>
        <v>0</v>
      </c>
      <c r="G44" s="660">
        <f>F44+G43</f>
        <v>0</v>
      </c>
      <c r="H44" s="660">
        <f t="shared" ref="H44:T44" si="16">G44+H43</f>
        <v>0</v>
      </c>
      <c r="I44" s="660">
        <f t="shared" si="16"/>
        <v>0</v>
      </c>
      <c r="J44" s="660">
        <f t="shared" si="16"/>
        <v>0</v>
      </c>
      <c r="K44" s="660">
        <f t="shared" si="16"/>
        <v>0</v>
      </c>
      <c r="L44" s="660">
        <f t="shared" si="16"/>
        <v>0</v>
      </c>
      <c r="M44" s="660">
        <f t="shared" si="16"/>
        <v>0</v>
      </c>
      <c r="N44" s="660">
        <f t="shared" si="16"/>
        <v>0</v>
      </c>
      <c r="O44" s="660">
        <f t="shared" si="16"/>
        <v>0</v>
      </c>
      <c r="P44" s="660">
        <f t="shared" si="16"/>
        <v>0</v>
      </c>
      <c r="Q44" s="660">
        <f t="shared" si="16"/>
        <v>0</v>
      </c>
      <c r="R44" s="660">
        <f t="shared" si="16"/>
        <v>0</v>
      </c>
      <c r="S44" s="660">
        <f t="shared" si="16"/>
        <v>0</v>
      </c>
      <c r="T44" s="892">
        <f t="shared" si="16"/>
        <v>0</v>
      </c>
    </row>
    <row r="45" spans="1:20" s="38" customFormat="1" ht="13.5" customHeight="1">
      <c r="A45" s="2586" t="s">
        <v>1385</v>
      </c>
      <c r="B45" s="2576"/>
      <c r="C45" s="2576"/>
      <c r="D45" s="2576"/>
      <c r="E45" s="2577"/>
      <c r="F45" s="660">
        <f t="shared" ref="F45:T45" si="17">F41+F43</f>
        <v>0</v>
      </c>
      <c r="G45" s="660">
        <f t="shared" si="17"/>
        <v>0</v>
      </c>
      <c r="H45" s="660">
        <f t="shared" si="17"/>
        <v>0</v>
      </c>
      <c r="I45" s="660">
        <f t="shared" si="17"/>
        <v>0</v>
      </c>
      <c r="J45" s="660">
        <f t="shared" si="17"/>
        <v>0</v>
      </c>
      <c r="K45" s="660">
        <f t="shared" si="17"/>
        <v>0</v>
      </c>
      <c r="L45" s="660">
        <f t="shared" si="17"/>
        <v>0</v>
      </c>
      <c r="M45" s="660">
        <f t="shared" si="17"/>
        <v>0</v>
      </c>
      <c r="N45" s="660">
        <f t="shared" si="17"/>
        <v>0</v>
      </c>
      <c r="O45" s="660">
        <f t="shared" si="17"/>
        <v>0</v>
      </c>
      <c r="P45" s="660">
        <f t="shared" si="17"/>
        <v>0</v>
      </c>
      <c r="Q45" s="660">
        <f t="shared" si="17"/>
        <v>0</v>
      </c>
      <c r="R45" s="660">
        <f t="shared" si="17"/>
        <v>0</v>
      </c>
      <c r="S45" s="660">
        <f t="shared" si="17"/>
        <v>0</v>
      </c>
      <c r="T45" s="892">
        <f t="shared" si="17"/>
        <v>0</v>
      </c>
    </row>
    <row r="46" spans="1:20" s="38" customFormat="1" ht="13.5" customHeight="1">
      <c r="A46" s="2578" t="s">
        <v>1399</v>
      </c>
      <c r="B46" s="2579"/>
      <c r="C46" s="2579"/>
      <c r="D46" s="2579"/>
      <c r="E46" s="2580"/>
      <c r="F46" s="844">
        <f t="shared" ref="F46:T46" si="18">IF(F41&lt;0,MIN($C$10,-F41),0)</f>
        <v>0</v>
      </c>
      <c r="G46" s="844">
        <f t="shared" si="18"/>
        <v>0</v>
      </c>
      <c r="H46" s="844">
        <f t="shared" si="18"/>
        <v>0</v>
      </c>
      <c r="I46" s="844">
        <f t="shared" si="18"/>
        <v>0</v>
      </c>
      <c r="J46" s="844">
        <f t="shared" si="18"/>
        <v>0</v>
      </c>
      <c r="K46" s="844">
        <f t="shared" si="18"/>
        <v>0</v>
      </c>
      <c r="L46" s="844">
        <f t="shared" si="18"/>
        <v>0</v>
      </c>
      <c r="M46" s="844">
        <f t="shared" si="18"/>
        <v>0</v>
      </c>
      <c r="N46" s="844">
        <f t="shared" si="18"/>
        <v>0</v>
      </c>
      <c r="O46" s="844">
        <f t="shared" si="18"/>
        <v>0</v>
      </c>
      <c r="P46" s="844">
        <f t="shared" si="18"/>
        <v>0</v>
      </c>
      <c r="Q46" s="844">
        <f t="shared" si="18"/>
        <v>0</v>
      </c>
      <c r="R46" s="844">
        <f t="shared" si="18"/>
        <v>0</v>
      </c>
      <c r="S46" s="844">
        <f t="shared" si="18"/>
        <v>0</v>
      </c>
      <c r="T46" s="891">
        <f t="shared" si="18"/>
        <v>0</v>
      </c>
    </row>
    <row r="47" spans="1:20" s="38" customFormat="1" ht="13.5" customHeight="1">
      <c r="A47" s="2587" t="s">
        <v>1384</v>
      </c>
      <c r="B47" s="2573"/>
      <c r="C47" s="2573"/>
      <c r="D47" s="2573"/>
      <c r="E47" s="2574"/>
      <c r="F47" s="660">
        <f>F46</f>
        <v>0</v>
      </c>
      <c r="G47" s="660">
        <f t="shared" ref="G47:T47" si="19">F47+G46</f>
        <v>0</v>
      </c>
      <c r="H47" s="660">
        <f t="shared" si="19"/>
        <v>0</v>
      </c>
      <c r="I47" s="660">
        <f t="shared" si="19"/>
        <v>0</v>
      </c>
      <c r="J47" s="660">
        <f t="shared" si="19"/>
        <v>0</v>
      </c>
      <c r="K47" s="660">
        <f t="shared" si="19"/>
        <v>0</v>
      </c>
      <c r="L47" s="660">
        <f t="shared" si="19"/>
        <v>0</v>
      </c>
      <c r="M47" s="660">
        <f t="shared" si="19"/>
        <v>0</v>
      </c>
      <c r="N47" s="660">
        <f t="shared" si="19"/>
        <v>0</v>
      </c>
      <c r="O47" s="660">
        <f t="shared" si="19"/>
        <v>0</v>
      </c>
      <c r="P47" s="660">
        <f t="shared" si="19"/>
        <v>0</v>
      </c>
      <c r="Q47" s="660">
        <f t="shared" si="19"/>
        <v>0</v>
      </c>
      <c r="R47" s="660">
        <f t="shared" si="19"/>
        <v>0</v>
      </c>
      <c r="S47" s="660">
        <f t="shared" si="19"/>
        <v>0</v>
      </c>
      <c r="T47" s="892">
        <f t="shared" si="19"/>
        <v>0</v>
      </c>
    </row>
    <row r="48" spans="1:20" s="38" customFormat="1" ht="13.5" customHeight="1">
      <c r="A48" s="2587" t="s">
        <v>1385</v>
      </c>
      <c r="B48" s="2573"/>
      <c r="C48" s="2573"/>
      <c r="D48" s="2573"/>
      <c r="E48" s="2574"/>
      <c r="F48" s="660">
        <f t="shared" ref="F48:T48" si="20">F41+F46</f>
        <v>0</v>
      </c>
      <c r="G48" s="660">
        <f t="shared" si="20"/>
        <v>0</v>
      </c>
      <c r="H48" s="660">
        <f t="shared" si="20"/>
        <v>0</v>
      </c>
      <c r="I48" s="660">
        <f t="shared" si="20"/>
        <v>0</v>
      </c>
      <c r="J48" s="660">
        <f t="shared" si="20"/>
        <v>0</v>
      </c>
      <c r="K48" s="660">
        <f t="shared" si="20"/>
        <v>0</v>
      </c>
      <c r="L48" s="660">
        <f t="shared" si="20"/>
        <v>0</v>
      </c>
      <c r="M48" s="660">
        <f t="shared" si="20"/>
        <v>0</v>
      </c>
      <c r="N48" s="660">
        <f t="shared" si="20"/>
        <v>0</v>
      </c>
      <c r="O48" s="660">
        <f t="shared" si="20"/>
        <v>0</v>
      </c>
      <c r="P48" s="660">
        <f t="shared" si="20"/>
        <v>0</v>
      </c>
      <c r="Q48" s="660">
        <f t="shared" si="20"/>
        <v>0</v>
      </c>
      <c r="R48" s="660">
        <f t="shared" si="20"/>
        <v>0</v>
      </c>
      <c r="S48" s="660">
        <f t="shared" si="20"/>
        <v>0</v>
      </c>
      <c r="T48" s="892">
        <f t="shared" si="20"/>
        <v>0</v>
      </c>
    </row>
    <row r="49" spans="1:20" s="888" customFormat="1" ht="33" customHeight="1">
      <c r="A49" s="2551" t="s">
        <v>1000</v>
      </c>
      <c r="B49" s="2552"/>
      <c r="C49" s="2552"/>
      <c r="D49" s="2552"/>
      <c r="E49" s="2552"/>
      <c r="F49" s="2552"/>
      <c r="G49" s="2552"/>
      <c r="H49" s="2552"/>
      <c r="I49" s="2552"/>
      <c r="J49" s="2552"/>
      <c r="K49" s="2552"/>
      <c r="L49" s="2552"/>
      <c r="M49" s="2552"/>
      <c r="N49" s="2552"/>
      <c r="O49" s="2552"/>
      <c r="P49" s="2552"/>
      <c r="Q49" s="2552"/>
      <c r="R49" s="2552"/>
      <c r="S49" s="2552"/>
      <c r="T49" s="2553"/>
    </row>
  </sheetData>
  <sheetProtection password="C9E9" sheet="1" objects="1" scenarios="1"/>
  <mergeCells count="58">
    <mergeCell ref="A10:B10"/>
    <mergeCell ref="A5:B5"/>
    <mergeCell ref="D2:G2"/>
    <mergeCell ref="A2:B2"/>
    <mergeCell ref="A3:B3"/>
    <mergeCell ref="A4:B4"/>
    <mergeCell ref="A6:B6"/>
    <mergeCell ref="S4:S5"/>
    <mergeCell ref="D4:D5"/>
    <mergeCell ref="A1:T1"/>
    <mergeCell ref="L2:M2"/>
    <mergeCell ref="H2:I2"/>
    <mergeCell ref="J2:K2"/>
    <mergeCell ref="E4:E5"/>
    <mergeCell ref="F4:F5"/>
    <mergeCell ref="G4:G5"/>
    <mergeCell ref="H4:H5"/>
    <mergeCell ref="I4:I5"/>
    <mergeCell ref="J4:J5"/>
    <mergeCell ref="K4:K5"/>
    <mergeCell ref="L4:L5"/>
    <mergeCell ref="M4:M5"/>
    <mergeCell ref="N4:N5"/>
    <mergeCell ref="O4:O5"/>
    <mergeCell ref="P4:P5"/>
    <mergeCell ref="Q4:Q5"/>
    <mergeCell ref="R4:R5"/>
    <mergeCell ref="A27:B27"/>
    <mergeCell ref="A13:B13"/>
    <mergeCell ref="A16:B16"/>
    <mergeCell ref="A17:B17"/>
    <mergeCell ref="A18:E18"/>
    <mergeCell ref="A21:B21"/>
    <mergeCell ref="A22:B22"/>
    <mergeCell ref="A23:E23"/>
    <mergeCell ref="A24:E24"/>
    <mergeCell ref="A7:B7"/>
    <mergeCell ref="A8:B8"/>
    <mergeCell ref="A9:B9"/>
    <mergeCell ref="A44:E44"/>
    <mergeCell ref="A43:E43"/>
    <mergeCell ref="A41:E41"/>
    <mergeCell ref="A28:B28"/>
    <mergeCell ref="A30:B30"/>
    <mergeCell ref="A31:B31"/>
    <mergeCell ref="A32:E32"/>
    <mergeCell ref="A33:E33"/>
    <mergeCell ref="A36:B36"/>
    <mergeCell ref="A37:B37"/>
    <mergeCell ref="A38:B38"/>
    <mergeCell ref="A39:B39"/>
    <mergeCell ref="A40:E40"/>
    <mergeCell ref="A29:B29"/>
    <mergeCell ref="A49:T49"/>
    <mergeCell ref="A45:E45"/>
    <mergeCell ref="A46:E46"/>
    <mergeCell ref="A47:E47"/>
    <mergeCell ref="A48:E48"/>
  </mergeCells>
  <conditionalFormatting sqref="C5">
    <cfRule type="expression" dxfId="15" priority="6">
      <formula>AND($C$4&gt;20,$C$3&gt;$C$5)</formula>
    </cfRule>
  </conditionalFormatting>
  <conditionalFormatting sqref="F41:T41">
    <cfRule type="cellIs" dxfId="14" priority="5" operator="lessThan">
      <formula>0</formula>
    </cfRule>
  </conditionalFormatting>
  <conditionalFormatting sqref="F43:T44 F47:T47">
    <cfRule type="cellIs" dxfId="13" priority="58" stopIfTrue="1" operator="equal">
      <formula>$C$9</formula>
    </cfRule>
  </conditionalFormatting>
  <conditionalFormatting sqref="F46:T46">
    <cfRule type="cellIs" dxfId="12" priority="60" operator="greaterThan">
      <formula>$C$9</formula>
    </cfRule>
    <cfRule type="cellIs" dxfId="11" priority="61" operator="equal">
      <formula>$C$10</formula>
    </cfRule>
  </conditionalFormatting>
  <conditionalFormatting sqref="C3">
    <cfRule type="expression" dxfId="10" priority="64">
      <formula>C3&lt;&gt;$F$10+$I$10+$L$10+$O$10+$R$10</formula>
    </cfRule>
  </conditionalFormatting>
  <dataValidations count="2">
    <dataValidation type="list" allowBlank="1" showInputMessage="1" showErrorMessage="1" sqref="D5:F5">
      <formula1>CountyTBL</formula1>
    </dataValidation>
    <dataValidation type="list" allowBlank="1" showInputMessage="1" showErrorMessage="1" sqref="H2:I2">
      <formula1>"9%,No 9%"</formula1>
    </dataValidation>
  </dataValidations>
  <pageMargins left="0.25" right="0.25" top="0.5" bottom="0.25" header="0" footer="0"/>
  <pageSetup scale="61" orientation="landscape" r:id="rId1"/>
  <headerFooter>
    <oddFooter>&amp;CPage &amp;P&amp;RUniversal Application - &amp;A</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K233"/>
  <sheetViews>
    <sheetView workbookViewId="0">
      <selection activeCell="Q25" sqref="Q25"/>
    </sheetView>
  </sheetViews>
  <sheetFormatPr defaultRowHeight="12.75"/>
  <cols>
    <col min="1" max="1" width="23.42578125" style="853" bestFit="1" customWidth="1"/>
    <col min="2" max="6" width="13.28515625" style="853" customWidth="1"/>
    <col min="7" max="11" width="9.140625" style="855"/>
  </cols>
  <sheetData>
    <row r="1" spans="1:11">
      <c r="A1" s="854" t="s">
        <v>1085</v>
      </c>
      <c r="B1" s="854" t="s">
        <v>1086</v>
      </c>
      <c r="C1" s="854" t="s">
        <v>1087</v>
      </c>
      <c r="D1" s="854" t="s">
        <v>1088</v>
      </c>
      <c r="E1" s="854" t="s">
        <v>1089</v>
      </c>
      <c r="F1" s="854" t="s">
        <v>1090</v>
      </c>
      <c r="G1" s="854" t="s">
        <v>1086</v>
      </c>
      <c r="H1" s="854" t="s">
        <v>1087</v>
      </c>
      <c r="I1" s="854" t="s">
        <v>1088</v>
      </c>
      <c r="J1" s="854" t="s">
        <v>1089</v>
      </c>
      <c r="K1" s="854" t="s">
        <v>1090</v>
      </c>
    </row>
    <row r="2" spans="1:11">
      <c r="A2" s="857" t="s">
        <v>1091</v>
      </c>
      <c r="B2" s="855">
        <v>132862</v>
      </c>
      <c r="C2" s="855">
        <v>132862</v>
      </c>
      <c r="D2" s="855">
        <v>132862</v>
      </c>
      <c r="E2" s="855">
        <v>132862</v>
      </c>
      <c r="F2" s="855">
        <v>132862</v>
      </c>
      <c r="G2" s="965">
        <v>186006</v>
      </c>
      <c r="H2" s="965">
        <v>186006</v>
      </c>
      <c r="I2" s="965">
        <v>186006</v>
      </c>
      <c r="J2" s="965">
        <v>186006</v>
      </c>
      <c r="K2" s="965">
        <v>186006</v>
      </c>
    </row>
    <row r="3" spans="1:11">
      <c r="A3" s="857" t="s">
        <v>1092</v>
      </c>
      <c r="B3" s="855">
        <v>148563</v>
      </c>
      <c r="C3" s="855">
        <v>149571</v>
      </c>
      <c r="D3" s="855">
        <v>153029</v>
      </c>
      <c r="E3" s="855">
        <v>156054</v>
      </c>
      <c r="F3" s="855">
        <v>158791</v>
      </c>
      <c r="G3" s="965">
        <v>201707</v>
      </c>
      <c r="H3" s="965">
        <v>202715</v>
      </c>
      <c r="I3" s="965">
        <v>206173</v>
      </c>
      <c r="J3" s="965">
        <v>209198</v>
      </c>
      <c r="K3" s="965">
        <v>211935</v>
      </c>
    </row>
    <row r="4" spans="1:11">
      <c r="A4" s="857" t="s">
        <v>1093</v>
      </c>
      <c r="B4" s="855">
        <v>164120</v>
      </c>
      <c r="C4" s="855">
        <v>166281</v>
      </c>
      <c r="D4" s="855">
        <v>173051</v>
      </c>
      <c r="E4" s="855">
        <v>179245</v>
      </c>
      <c r="F4" s="855">
        <v>184575</v>
      </c>
      <c r="G4" s="965">
        <v>217264</v>
      </c>
      <c r="H4" s="965">
        <v>219425</v>
      </c>
      <c r="I4" s="965">
        <v>226195</v>
      </c>
      <c r="J4" s="965">
        <v>232389</v>
      </c>
      <c r="K4" s="965">
        <v>237719</v>
      </c>
    </row>
    <row r="5" spans="1:11">
      <c r="A5" s="857" t="s">
        <v>1094</v>
      </c>
      <c r="B5" s="855">
        <v>179821</v>
      </c>
      <c r="C5" s="855">
        <v>183135</v>
      </c>
      <c r="D5" s="855">
        <v>193218</v>
      </c>
      <c r="E5" s="855">
        <v>202437</v>
      </c>
      <c r="F5" s="855">
        <v>210503</v>
      </c>
      <c r="G5" s="965">
        <v>232965</v>
      </c>
      <c r="H5" s="965">
        <v>236279</v>
      </c>
      <c r="I5" s="965">
        <v>246362</v>
      </c>
      <c r="J5" s="965">
        <v>255581</v>
      </c>
      <c r="K5" s="965">
        <v>263647</v>
      </c>
    </row>
    <row r="6" spans="1:11">
      <c r="A6" s="857" t="s">
        <v>1095</v>
      </c>
      <c r="B6" s="855">
        <v>132862</v>
      </c>
      <c r="C6" s="855">
        <v>132862</v>
      </c>
      <c r="D6" s="855">
        <v>132862</v>
      </c>
      <c r="E6" s="855">
        <v>132862</v>
      </c>
      <c r="F6" s="855">
        <v>132862</v>
      </c>
      <c r="G6" s="965">
        <v>186006</v>
      </c>
      <c r="H6" s="965">
        <v>186006</v>
      </c>
      <c r="I6" s="965">
        <v>186006</v>
      </c>
      <c r="J6" s="965">
        <v>186006</v>
      </c>
      <c r="K6" s="965">
        <v>186006</v>
      </c>
    </row>
    <row r="7" spans="1:11">
      <c r="A7" s="857" t="s">
        <v>1096</v>
      </c>
      <c r="B7" s="855">
        <v>142945</v>
      </c>
      <c r="C7" s="855">
        <v>143666</v>
      </c>
      <c r="D7" s="855">
        <v>145826</v>
      </c>
      <c r="E7" s="855">
        <v>147987</v>
      </c>
      <c r="F7" s="855">
        <v>149571</v>
      </c>
      <c r="G7" s="965">
        <v>196089</v>
      </c>
      <c r="H7" s="965">
        <v>196810</v>
      </c>
      <c r="I7" s="965">
        <v>198970</v>
      </c>
      <c r="J7" s="965">
        <v>201131</v>
      </c>
      <c r="K7" s="965">
        <v>202715</v>
      </c>
    </row>
    <row r="8" spans="1:11">
      <c r="A8" s="857" t="s">
        <v>1097</v>
      </c>
      <c r="B8" s="855">
        <v>153029</v>
      </c>
      <c r="C8" s="855">
        <v>154469</v>
      </c>
      <c r="D8" s="855">
        <v>158791</v>
      </c>
      <c r="E8" s="855">
        <v>162968</v>
      </c>
      <c r="F8" s="855">
        <v>166281</v>
      </c>
      <c r="G8" s="965">
        <v>206173</v>
      </c>
      <c r="H8" s="965">
        <v>207613</v>
      </c>
      <c r="I8" s="965">
        <v>211935</v>
      </c>
      <c r="J8" s="965">
        <v>216112</v>
      </c>
      <c r="K8" s="965">
        <v>219425</v>
      </c>
    </row>
    <row r="9" spans="1:11">
      <c r="A9" s="857" t="s">
        <v>1098</v>
      </c>
      <c r="B9" s="855">
        <v>163112</v>
      </c>
      <c r="C9" s="855">
        <v>165273</v>
      </c>
      <c r="D9" s="855">
        <v>171755</v>
      </c>
      <c r="E9" s="855">
        <v>177949</v>
      </c>
      <c r="F9" s="855">
        <v>183135</v>
      </c>
      <c r="G9" s="965">
        <v>216256</v>
      </c>
      <c r="H9" s="965">
        <v>218417</v>
      </c>
      <c r="I9" s="965">
        <v>224899</v>
      </c>
      <c r="J9" s="965">
        <v>231093</v>
      </c>
      <c r="K9" s="965">
        <v>236279</v>
      </c>
    </row>
    <row r="10" spans="1:11">
      <c r="A10" s="857" t="s">
        <v>1099</v>
      </c>
      <c r="B10" s="856">
        <v>132862</v>
      </c>
      <c r="C10" s="856">
        <v>132862</v>
      </c>
      <c r="D10" s="856">
        <v>132862</v>
      </c>
      <c r="E10" s="856">
        <v>132862</v>
      </c>
      <c r="F10" s="856">
        <v>132862</v>
      </c>
      <c r="G10" s="965">
        <v>186006</v>
      </c>
      <c r="H10" s="965">
        <v>186006</v>
      </c>
      <c r="I10" s="965">
        <v>186006</v>
      </c>
      <c r="J10" s="965">
        <v>186006</v>
      </c>
      <c r="K10" s="965">
        <v>186006</v>
      </c>
    </row>
    <row r="11" spans="1:11">
      <c r="A11" s="857" t="s">
        <v>1100</v>
      </c>
      <c r="B11" s="856">
        <v>142081</v>
      </c>
      <c r="C11" s="856">
        <v>142657</v>
      </c>
      <c r="D11" s="856">
        <v>144674</v>
      </c>
      <c r="E11" s="856">
        <v>146546</v>
      </c>
      <c r="F11" s="856">
        <v>148131</v>
      </c>
      <c r="G11" s="965">
        <v>195225</v>
      </c>
      <c r="H11" s="965">
        <v>195801</v>
      </c>
      <c r="I11" s="965">
        <v>197818</v>
      </c>
      <c r="J11" s="965">
        <v>199690</v>
      </c>
      <c r="K11" s="965">
        <v>201275</v>
      </c>
    </row>
    <row r="12" spans="1:11">
      <c r="A12" s="857" t="s">
        <v>1101</v>
      </c>
      <c r="B12" s="856">
        <v>151300</v>
      </c>
      <c r="C12" s="856">
        <v>152596</v>
      </c>
      <c r="D12" s="856">
        <v>156486</v>
      </c>
      <c r="E12" s="856">
        <v>160231</v>
      </c>
      <c r="F12" s="856">
        <v>163400</v>
      </c>
      <c r="G12" s="965">
        <v>204444</v>
      </c>
      <c r="H12" s="965">
        <v>205740</v>
      </c>
      <c r="I12" s="965">
        <v>209630</v>
      </c>
      <c r="J12" s="965">
        <v>213375</v>
      </c>
      <c r="K12" s="965">
        <v>216544</v>
      </c>
    </row>
    <row r="13" spans="1:11">
      <c r="A13" s="857" t="s">
        <v>1102</v>
      </c>
      <c r="B13" s="856">
        <v>160519</v>
      </c>
      <c r="C13" s="856">
        <v>162392</v>
      </c>
      <c r="D13" s="856">
        <v>168298</v>
      </c>
      <c r="E13" s="856">
        <v>173915</v>
      </c>
      <c r="F13" s="856">
        <v>178669</v>
      </c>
      <c r="G13" s="965">
        <v>213663</v>
      </c>
      <c r="H13" s="965">
        <v>215536</v>
      </c>
      <c r="I13" s="965">
        <v>221442</v>
      </c>
      <c r="J13" s="965">
        <v>227059</v>
      </c>
      <c r="K13" s="965">
        <v>231813</v>
      </c>
    </row>
    <row r="14" spans="1:11">
      <c r="A14" s="857" t="s">
        <v>1103</v>
      </c>
      <c r="B14" s="855">
        <v>132862</v>
      </c>
      <c r="C14" s="855">
        <v>132862</v>
      </c>
      <c r="D14" s="855">
        <v>132862</v>
      </c>
      <c r="E14" s="855">
        <v>132862</v>
      </c>
      <c r="F14" s="855">
        <v>132862</v>
      </c>
      <c r="G14" s="965">
        <v>186006</v>
      </c>
      <c r="H14" s="965">
        <v>186006</v>
      </c>
      <c r="I14" s="965">
        <v>186006</v>
      </c>
      <c r="J14" s="965">
        <v>186006</v>
      </c>
      <c r="K14" s="965">
        <v>186006</v>
      </c>
    </row>
    <row r="15" spans="1:11">
      <c r="A15" s="857" t="s">
        <v>1104</v>
      </c>
      <c r="B15" s="855">
        <v>141217</v>
      </c>
      <c r="C15" s="855">
        <v>141937</v>
      </c>
      <c r="D15" s="855">
        <v>143666</v>
      </c>
      <c r="E15" s="855">
        <v>145394</v>
      </c>
      <c r="F15" s="855">
        <v>146835</v>
      </c>
      <c r="G15" s="965">
        <v>194361</v>
      </c>
      <c r="H15" s="965">
        <v>195081</v>
      </c>
      <c r="I15" s="965">
        <v>196810</v>
      </c>
      <c r="J15" s="965">
        <v>198538</v>
      </c>
      <c r="K15" s="965">
        <v>199979</v>
      </c>
    </row>
    <row r="16" spans="1:11">
      <c r="A16" s="857" t="s">
        <v>1105</v>
      </c>
      <c r="B16" s="855">
        <v>149571</v>
      </c>
      <c r="C16" s="855">
        <v>150868</v>
      </c>
      <c r="D16" s="855">
        <v>154469</v>
      </c>
      <c r="E16" s="855">
        <v>157782</v>
      </c>
      <c r="F16" s="855">
        <v>160663</v>
      </c>
      <c r="G16" s="965">
        <v>202715</v>
      </c>
      <c r="H16" s="965">
        <v>204012</v>
      </c>
      <c r="I16" s="965">
        <v>207613</v>
      </c>
      <c r="J16" s="965">
        <v>210926</v>
      </c>
      <c r="K16" s="965">
        <v>213807</v>
      </c>
    </row>
    <row r="17" spans="1:11">
      <c r="A17" s="857" t="s">
        <v>1106</v>
      </c>
      <c r="B17" s="855">
        <v>158070</v>
      </c>
      <c r="C17" s="855">
        <v>159799</v>
      </c>
      <c r="D17" s="855">
        <v>165273</v>
      </c>
      <c r="E17" s="855">
        <v>170314</v>
      </c>
      <c r="F17" s="855">
        <v>174636</v>
      </c>
      <c r="G17" s="965">
        <v>211214</v>
      </c>
      <c r="H17" s="965">
        <v>212943</v>
      </c>
      <c r="I17" s="965">
        <v>218417</v>
      </c>
      <c r="J17" s="965">
        <v>223458</v>
      </c>
      <c r="K17" s="965">
        <v>227780</v>
      </c>
    </row>
    <row r="18" spans="1:11">
      <c r="A18" s="857" t="s">
        <v>1107</v>
      </c>
      <c r="B18" s="855">
        <v>132862</v>
      </c>
      <c r="C18" s="855">
        <v>132862</v>
      </c>
      <c r="D18" s="855">
        <v>132862</v>
      </c>
      <c r="E18" s="855">
        <v>132862</v>
      </c>
      <c r="F18" s="855">
        <v>132862</v>
      </c>
      <c r="G18" s="965">
        <v>186006</v>
      </c>
      <c r="H18" s="965">
        <v>186006</v>
      </c>
      <c r="I18" s="965">
        <v>186006</v>
      </c>
      <c r="J18" s="965">
        <v>186006</v>
      </c>
      <c r="K18" s="965">
        <v>186006</v>
      </c>
    </row>
    <row r="19" spans="1:11">
      <c r="A19" s="857" t="s">
        <v>1108</v>
      </c>
      <c r="B19" s="855">
        <v>142369</v>
      </c>
      <c r="C19" s="855">
        <v>143089</v>
      </c>
      <c r="D19" s="855">
        <v>145106</v>
      </c>
      <c r="E19" s="855">
        <v>146979</v>
      </c>
      <c r="F19" s="855">
        <v>148563</v>
      </c>
      <c r="G19" s="965">
        <v>195513</v>
      </c>
      <c r="H19" s="965">
        <v>196233</v>
      </c>
      <c r="I19" s="965">
        <v>198250</v>
      </c>
      <c r="J19" s="965">
        <v>200123</v>
      </c>
      <c r="K19" s="965">
        <v>201707</v>
      </c>
    </row>
    <row r="20" spans="1:11">
      <c r="A20" s="857" t="s">
        <v>1109</v>
      </c>
      <c r="B20" s="855">
        <v>151876</v>
      </c>
      <c r="C20" s="855">
        <v>153317</v>
      </c>
      <c r="D20" s="855">
        <v>157206</v>
      </c>
      <c r="E20" s="855">
        <v>161095</v>
      </c>
      <c r="F20" s="855">
        <v>164264</v>
      </c>
      <c r="G20" s="965">
        <v>205020</v>
      </c>
      <c r="H20" s="965">
        <v>206461</v>
      </c>
      <c r="I20" s="965">
        <v>210350</v>
      </c>
      <c r="J20" s="965">
        <v>214239</v>
      </c>
      <c r="K20" s="965">
        <v>217408</v>
      </c>
    </row>
    <row r="21" spans="1:11">
      <c r="A21" s="857" t="s">
        <v>1110</v>
      </c>
      <c r="B21" s="855">
        <v>161383</v>
      </c>
      <c r="C21" s="855">
        <v>163400</v>
      </c>
      <c r="D21" s="855">
        <v>169450</v>
      </c>
      <c r="E21" s="855">
        <v>175212</v>
      </c>
      <c r="F21" s="855">
        <v>180110</v>
      </c>
      <c r="G21" s="965">
        <v>214527</v>
      </c>
      <c r="H21" s="965">
        <v>216544</v>
      </c>
      <c r="I21" s="965">
        <v>222594</v>
      </c>
      <c r="J21" s="965">
        <v>228356</v>
      </c>
      <c r="K21" s="965">
        <v>233254</v>
      </c>
    </row>
    <row r="22" spans="1:11">
      <c r="A22" s="857" t="s">
        <v>1111</v>
      </c>
      <c r="B22" s="855">
        <v>132862</v>
      </c>
      <c r="C22" s="855">
        <v>132862</v>
      </c>
      <c r="D22" s="855">
        <v>132862</v>
      </c>
      <c r="E22" s="855">
        <v>132862</v>
      </c>
      <c r="F22" s="855">
        <v>132862</v>
      </c>
      <c r="G22" s="965">
        <v>186006</v>
      </c>
      <c r="H22" s="965">
        <v>186006</v>
      </c>
      <c r="I22" s="965">
        <v>186006</v>
      </c>
      <c r="J22" s="965">
        <v>186006</v>
      </c>
      <c r="K22" s="965">
        <v>186006</v>
      </c>
    </row>
    <row r="23" spans="1:11">
      <c r="A23" s="857" t="s">
        <v>1112</v>
      </c>
      <c r="B23" s="855">
        <v>141073</v>
      </c>
      <c r="C23" s="855">
        <v>141505</v>
      </c>
      <c r="D23" s="855">
        <v>143377</v>
      </c>
      <c r="E23" s="855">
        <v>144962</v>
      </c>
      <c r="F23" s="855">
        <v>146402</v>
      </c>
      <c r="G23" s="965">
        <v>194217</v>
      </c>
      <c r="H23" s="965">
        <v>194649</v>
      </c>
      <c r="I23" s="965">
        <v>196521</v>
      </c>
      <c r="J23" s="965">
        <v>198106</v>
      </c>
      <c r="K23" s="965">
        <v>199546</v>
      </c>
    </row>
    <row r="24" spans="1:11">
      <c r="A24" s="857" t="s">
        <v>1113</v>
      </c>
      <c r="B24" s="855">
        <v>149139</v>
      </c>
      <c r="C24" s="855">
        <v>150292</v>
      </c>
      <c r="D24" s="855">
        <v>153893</v>
      </c>
      <c r="E24" s="855">
        <v>157062</v>
      </c>
      <c r="F24" s="855">
        <v>159943</v>
      </c>
      <c r="G24" s="965">
        <v>202283</v>
      </c>
      <c r="H24" s="965">
        <v>203436</v>
      </c>
      <c r="I24" s="965">
        <v>207037</v>
      </c>
      <c r="J24" s="965">
        <v>210206</v>
      </c>
      <c r="K24" s="965">
        <v>213087</v>
      </c>
    </row>
    <row r="25" spans="1:11">
      <c r="A25" s="857" t="s">
        <v>1114</v>
      </c>
      <c r="B25" s="855">
        <v>157350</v>
      </c>
      <c r="C25" s="855">
        <v>159079</v>
      </c>
      <c r="D25" s="855">
        <v>164408</v>
      </c>
      <c r="E25" s="855">
        <v>169306</v>
      </c>
      <c r="F25" s="855">
        <v>173483</v>
      </c>
      <c r="G25" s="965">
        <v>210494</v>
      </c>
      <c r="H25" s="965">
        <v>212223</v>
      </c>
      <c r="I25" s="965">
        <v>217552</v>
      </c>
      <c r="J25" s="965">
        <v>222450</v>
      </c>
      <c r="K25" s="965">
        <v>226627</v>
      </c>
    </row>
    <row r="26" spans="1:11">
      <c r="A26" s="857" t="s">
        <v>1115</v>
      </c>
      <c r="B26" s="855">
        <v>132862</v>
      </c>
      <c r="C26" s="855">
        <v>132862</v>
      </c>
      <c r="D26" s="855">
        <v>132862</v>
      </c>
      <c r="E26" s="855">
        <v>132862</v>
      </c>
      <c r="F26" s="855">
        <v>132862</v>
      </c>
      <c r="G26" s="965">
        <v>186006</v>
      </c>
      <c r="H26" s="965">
        <v>186006</v>
      </c>
      <c r="I26" s="965">
        <v>186006</v>
      </c>
      <c r="J26" s="965">
        <v>186006</v>
      </c>
      <c r="K26" s="965">
        <v>186006</v>
      </c>
    </row>
    <row r="27" spans="1:11">
      <c r="A27" s="857" t="s">
        <v>1116</v>
      </c>
      <c r="B27" s="855">
        <v>148563</v>
      </c>
      <c r="C27" s="855">
        <v>149571</v>
      </c>
      <c r="D27" s="855">
        <v>153029</v>
      </c>
      <c r="E27" s="855">
        <v>156054</v>
      </c>
      <c r="F27" s="855">
        <v>158791</v>
      </c>
      <c r="G27" s="965">
        <v>201707</v>
      </c>
      <c r="H27" s="965">
        <v>202715</v>
      </c>
      <c r="I27" s="965">
        <v>206173</v>
      </c>
      <c r="J27" s="965">
        <v>209198</v>
      </c>
      <c r="K27" s="965">
        <v>211935</v>
      </c>
    </row>
    <row r="28" spans="1:11">
      <c r="A28" s="857" t="s">
        <v>1117</v>
      </c>
      <c r="B28" s="855">
        <v>164120</v>
      </c>
      <c r="C28" s="855">
        <v>166281</v>
      </c>
      <c r="D28" s="855">
        <v>173051</v>
      </c>
      <c r="E28" s="855">
        <v>179245</v>
      </c>
      <c r="F28" s="855">
        <v>184575</v>
      </c>
      <c r="G28" s="965">
        <v>217264</v>
      </c>
      <c r="H28" s="965">
        <v>219425</v>
      </c>
      <c r="I28" s="965">
        <v>226195</v>
      </c>
      <c r="J28" s="965">
        <v>232389</v>
      </c>
      <c r="K28" s="965">
        <v>237719</v>
      </c>
    </row>
    <row r="29" spans="1:11">
      <c r="A29" s="857" t="s">
        <v>1118</v>
      </c>
      <c r="B29" s="855">
        <v>179821</v>
      </c>
      <c r="C29" s="855">
        <v>183135</v>
      </c>
      <c r="D29" s="855">
        <v>193218</v>
      </c>
      <c r="E29" s="855">
        <v>202437</v>
      </c>
      <c r="F29" s="855">
        <v>210503</v>
      </c>
      <c r="G29" s="965">
        <v>232965</v>
      </c>
      <c r="H29" s="965">
        <v>236279</v>
      </c>
      <c r="I29" s="965">
        <v>246362</v>
      </c>
      <c r="J29" s="965">
        <v>255581</v>
      </c>
      <c r="K29" s="965">
        <v>263647</v>
      </c>
    </row>
    <row r="30" spans="1:11">
      <c r="A30" s="857" t="s">
        <v>1119</v>
      </c>
      <c r="B30" s="855">
        <v>132862</v>
      </c>
      <c r="C30" s="855">
        <v>132862</v>
      </c>
      <c r="D30" s="855">
        <v>132862</v>
      </c>
      <c r="E30" s="855">
        <v>132862</v>
      </c>
      <c r="F30" s="855">
        <v>132862</v>
      </c>
      <c r="G30" s="965">
        <v>186006</v>
      </c>
      <c r="H30" s="965">
        <v>186006</v>
      </c>
      <c r="I30" s="965">
        <v>186006</v>
      </c>
      <c r="J30" s="965">
        <v>186006</v>
      </c>
      <c r="K30" s="965">
        <v>186006</v>
      </c>
    </row>
    <row r="31" spans="1:11">
      <c r="A31" s="857" t="s">
        <v>1120</v>
      </c>
      <c r="B31" s="855">
        <v>141073</v>
      </c>
      <c r="C31" s="855">
        <v>141505</v>
      </c>
      <c r="D31" s="855">
        <v>143377</v>
      </c>
      <c r="E31" s="855">
        <v>144962</v>
      </c>
      <c r="F31" s="855">
        <v>146402</v>
      </c>
      <c r="G31" s="965">
        <v>194217</v>
      </c>
      <c r="H31" s="965">
        <v>194649</v>
      </c>
      <c r="I31" s="965">
        <v>196521</v>
      </c>
      <c r="J31" s="965">
        <v>198106</v>
      </c>
      <c r="K31" s="965">
        <v>199546</v>
      </c>
    </row>
    <row r="32" spans="1:11">
      <c r="A32" s="857" t="s">
        <v>1121</v>
      </c>
      <c r="B32" s="855">
        <v>149139</v>
      </c>
      <c r="C32" s="855">
        <v>150292</v>
      </c>
      <c r="D32" s="855">
        <v>153893</v>
      </c>
      <c r="E32" s="855">
        <v>157062</v>
      </c>
      <c r="F32" s="855">
        <v>159943</v>
      </c>
      <c r="G32" s="965">
        <v>202283</v>
      </c>
      <c r="H32" s="965">
        <v>203436</v>
      </c>
      <c r="I32" s="965">
        <v>207037</v>
      </c>
      <c r="J32" s="965">
        <v>210206</v>
      </c>
      <c r="K32" s="965">
        <v>213087</v>
      </c>
    </row>
    <row r="33" spans="1:11">
      <c r="A33" s="857" t="s">
        <v>1122</v>
      </c>
      <c r="B33" s="855">
        <v>157350</v>
      </c>
      <c r="C33" s="855">
        <v>159079</v>
      </c>
      <c r="D33" s="855">
        <v>164408</v>
      </c>
      <c r="E33" s="855">
        <v>169306</v>
      </c>
      <c r="F33" s="855">
        <v>173483</v>
      </c>
      <c r="G33" s="965">
        <v>210494</v>
      </c>
      <c r="H33" s="965">
        <v>212223</v>
      </c>
      <c r="I33" s="965">
        <v>217552</v>
      </c>
      <c r="J33" s="965">
        <v>222450</v>
      </c>
      <c r="K33" s="965">
        <v>226627</v>
      </c>
    </row>
    <row r="34" spans="1:11">
      <c r="A34" s="857" t="s">
        <v>1123</v>
      </c>
      <c r="B34" s="855">
        <v>132862</v>
      </c>
      <c r="C34" s="855">
        <v>132862</v>
      </c>
      <c r="D34" s="855">
        <v>132862</v>
      </c>
      <c r="E34" s="855">
        <v>132862</v>
      </c>
      <c r="F34" s="855">
        <v>132862</v>
      </c>
      <c r="G34" s="965">
        <v>186006</v>
      </c>
      <c r="H34" s="965">
        <v>186006</v>
      </c>
      <c r="I34" s="965">
        <v>186006</v>
      </c>
      <c r="J34" s="965">
        <v>186006</v>
      </c>
      <c r="K34" s="965">
        <v>186006</v>
      </c>
    </row>
    <row r="35" spans="1:11">
      <c r="A35" s="857" t="s">
        <v>1124</v>
      </c>
      <c r="B35" s="855">
        <v>143377</v>
      </c>
      <c r="C35" s="855">
        <v>144098</v>
      </c>
      <c r="D35" s="855">
        <v>146402</v>
      </c>
      <c r="E35" s="855">
        <v>148563</v>
      </c>
      <c r="F35" s="855">
        <v>150292</v>
      </c>
      <c r="G35" s="965">
        <v>196521</v>
      </c>
      <c r="H35" s="965">
        <v>197242</v>
      </c>
      <c r="I35" s="965">
        <v>199546</v>
      </c>
      <c r="J35" s="965">
        <v>201707</v>
      </c>
      <c r="K35" s="965">
        <v>203436</v>
      </c>
    </row>
    <row r="36" spans="1:11">
      <c r="A36" s="857" t="s">
        <v>1125</v>
      </c>
      <c r="B36" s="855">
        <v>153893</v>
      </c>
      <c r="C36" s="855">
        <v>155477</v>
      </c>
      <c r="D36" s="855">
        <v>159943</v>
      </c>
      <c r="E36" s="855">
        <v>164264</v>
      </c>
      <c r="F36" s="855">
        <v>167721</v>
      </c>
      <c r="G36" s="965">
        <v>207037</v>
      </c>
      <c r="H36" s="965">
        <v>208621</v>
      </c>
      <c r="I36" s="965">
        <v>213087</v>
      </c>
      <c r="J36" s="965">
        <v>217408</v>
      </c>
      <c r="K36" s="965">
        <v>220865</v>
      </c>
    </row>
    <row r="37" spans="1:11">
      <c r="A37" s="857" t="s">
        <v>1126</v>
      </c>
      <c r="B37" s="855">
        <v>164552</v>
      </c>
      <c r="C37" s="855">
        <v>166713</v>
      </c>
      <c r="D37" s="855">
        <v>173483</v>
      </c>
      <c r="E37" s="855">
        <v>179821</v>
      </c>
      <c r="F37" s="855">
        <v>185295</v>
      </c>
      <c r="G37" s="965">
        <v>217696</v>
      </c>
      <c r="H37" s="965">
        <v>219857</v>
      </c>
      <c r="I37" s="965">
        <v>226627</v>
      </c>
      <c r="J37" s="965">
        <v>232965</v>
      </c>
      <c r="K37" s="965">
        <v>238439</v>
      </c>
    </row>
    <row r="38" spans="1:11">
      <c r="A38" s="857" t="s">
        <v>1127</v>
      </c>
      <c r="B38" s="855">
        <v>132862</v>
      </c>
      <c r="C38" s="855">
        <v>132862</v>
      </c>
      <c r="D38" s="855">
        <v>132862</v>
      </c>
      <c r="E38" s="855">
        <v>132862</v>
      </c>
      <c r="F38" s="855">
        <v>132862</v>
      </c>
      <c r="G38" s="965">
        <v>186006</v>
      </c>
      <c r="H38" s="965">
        <v>186006</v>
      </c>
      <c r="I38" s="965">
        <v>186006</v>
      </c>
      <c r="J38" s="965">
        <v>186006</v>
      </c>
      <c r="K38" s="965">
        <v>186006</v>
      </c>
    </row>
    <row r="39" spans="1:11">
      <c r="A39" s="857" t="s">
        <v>1128</v>
      </c>
      <c r="B39" s="855">
        <v>141073</v>
      </c>
      <c r="C39" s="855">
        <v>141505</v>
      </c>
      <c r="D39" s="855">
        <v>143377</v>
      </c>
      <c r="E39" s="855">
        <v>144962</v>
      </c>
      <c r="F39" s="855">
        <v>146402</v>
      </c>
      <c r="G39" s="965">
        <v>194217</v>
      </c>
      <c r="H39" s="965">
        <v>194649</v>
      </c>
      <c r="I39" s="965">
        <v>196521</v>
      </c>
      <c r="J39" s="965">
        <v>198106</v>
      </c>
      <c r="K39" s="965">
        <v>199546</v>
      </c>
    </row>
    <row r="40" spans="1:11">
      <c r="A40" s="857" t="s">
        <v>1129</v>
      </c>
      <c r="B40" s="855">
        <v>149139</v>
      </c>
      <c r="C40" s="855">
        <v>150292</v>
      </c>
      <c r="D40" s="855">
        <v>153893</v>
      </c>
      <c r="E40" s="855">
        <v>157062</v>
      </c>
      <c r="F40" s="855">
        <v>159943</v>
      </c>
      <c r="G40" s="965">
        <v>202283</v>
      </c>
      <c r="H40" s="965">
        <v>203436</v>
      </c>
      <c r="I40" s="965">
        <v>207037</v>
      </c>
      <c r="J40" s="965">
        <v>210206</v>
      </c>
      <c r="K40" s="965">
        <v>213087</v>
      </c>
    </row>
    <row r="41" spans="1:11">
      <c r="A41" s="857" t="s">
        <v>1130</v>
      </c>
      <c r="B41" s="855">
        <v>157350</v>
      </c>
      <c r="C41" s="855">
        <v>159079</v>
      </c>
      <c r="D41" s="855">
        <v>164408</v>
      </c>
      <c r="E41" s="855">
        <v>169306</v>
      </c>
      <c r="F41" s="855">
        <v>173483</v>
      </c>
      <c r="G41" s="965">
        <v>210494</v>
      </c>
      <c r="H41" s="965">
        <v>212223</v>
      </c>
      <c r="I41" s="965">
        <v>217552</v>
      </c>
      <c r="J41" s="965">
        <v>222450</v>
      </c>
      <c r="K41" s="965">
        <v>226627</v>
      </c>
    </row>
    <row r="42" spans="1:11">
      <c r="A42" s="857" t="s">
        <v>1131</v>
      </c>
      <c r="B42" s="855">
        <v>132862</v>
      </c>
      <c r="C42" s="855">
        <v>132862</v>
      </c>
      <c r="D42" s="855">
        <v>132862</v>
      </c>
      <c r="E42" s="855">
        <v>132862</v>
      </c>
      <c r="F42" s="855">
        <v>132862</v>
      </c>
      <c r="G42" s="965">
        <v>186006</v>
      </c>
      <c r="H42" s="965">
        <v>186006</v>
      </c>
      <c r="I42" s="965">
        <v>186006</v>
      </c>
      <c r="J42" s="965">
        <v>186006</v>
      </c>
      <c r="K42" s="965">
        <v>186006</v>
      </c>
    </row>
    <row r="43" spans="1:11">
      <c r="A43" s="857" t="s">
        <v>1132</v>
      </c>
      <c r="B43" s="855">
        <v>141073</v>
      </c>
      <c r="C43" s="855">
        <v>141505</v>
      </c>
      <c r="D43" s="855">
        <v>143377</v>
      </c>
      <c r="E43" s="855">
        <v>144962</v>
      </c>
      <c r="F43" s="855">
        <v>146402</v>
      </c>
      <c r="G43" s="965">
        <v>194217</v>
      </c>
      <c r="H43" s="965">
        <v>194649</v>
      </c>
      <c r="I43" s="965">
        <v>196521</v>
      </c>
      <c r="J43" s="965">
        <v>198106</v>
      </c>
      <c r="K43" s="965">
        <v>199546</v>
      </c>
    </row>
    <row r="44" spans="1:11">
      <c r="A44" s="857" t="s">
        <v>1133</v>
      </c>
      <c r="B44" s="855">
        <v>149139</v>
      </c>
      <c r="C44" s="855">
        <v>150292</v>
      </c>
      <c r="D44" s="855">
        <v>153893</v>
      </c>
      <c r="E44" s="855">
        <v>157062</v>
      </c>
      <c r="F44" s="855">
        <v>159943</v>
      </c>
      <c r="G44" s="965">
        <v>202283</v>
      </c>
      <c r="H44" s="965">
        <v>203436</v>
      </c>
      <c r="I44" s="965">
        <v>207037</v>
      </c>
      <c r="J44" s="965">
        <v>210206</v>
      </c>
      <c r="K44" s="965">
        <v>213087</v>
      </c>
    </row>
    <row r="45" spans="1:11">
      <c r="A45" s="857" t="s">
        <v>1134</v>
      </c>
      <c r="B45" s="855">
        <v>157350</v>
      </c>
      <c r="C45" s="855">
        <v>159079</v>
      </c>
      <c r="D45" s="855">
        <v>164408</v>
      </c>
      <c r="E45" s="855">
        <v>169306</v>
      </c>
      <c r="F45" s="855">
        <v>173483</v>
      </c>
      <c r="G45" s="965">
        <v>210494</v>
      </c>
      <c r="H45" s="965">
        <v>212223</v>
      </c>
      <c r="I45" s="965">
        <v>217552</v>
      </c>
      <c r="J45" s="965">
        <v>222450</v>
      </c>
      <c r="K45" s="965">
        <v>226627</v>
      </c>
    </row>
    <row r="46" spans="1:11">
      <c r="A46" s="857" t="s">
        <v>1135</v>
      </c>
      <c r="B46" s="855">
        <v>132862</v>
      </c>
      <c r="C46" s="855">
        <v>132862</v>
      </c>
      <c r="D46" s="855">
        <v>132862</v>
      </c>
      <c r="E46" s="855">
        <v>132862</v>
      </c>
      <c r="F46" s="855">
        <v>132862</v>
      </c>
      <c r="G46" s="965">
        <v>186006</v>
      </c>
      <c r="H46" s="965">
        <v>186006</v>
      </c>
      <c r="I46" s="965">
        <v>186006</v>
      </c>
      <c r="J46" s="965">
        <v>186006</v>
      </c>
      <c r="K46" s="965">
        <v>186006</v>
      </c>
    </row>
    <row r="47" spans="1:11">
      <c r="A47" s="857" t="s">
        <v>1136</v>
      </c>
      <c r="B47" s="855">
        <v>141073</v>
      </c>
      <c r="C47" s="855">
        <v>141505</v>
      </c>
      <c r="D47" s="855">
        <v>143377</v>
      </c>
      <c r="E47" s="855">
        <v>144962</v>
      </c>
      <c r="F47" s="855">
        <v>146402</v>
      </c>
      <c r="G47" s="965">
        <v>194217</v>
      </c>
      <c r="H47" s="965">
        <v>194649</v>
      </c>
      <c r="I47" s="965">
        <v>196521</v>
      </c>
      <c r="J47" s="965">
        <v>198106</v>
      </c>
      <c r="K47" s="965">
        <v>199546</v>
      </c>
    </row>
    <row r="48" spans="1:11">
      <c r="A48" s="857" t="s">
        <v>1137</v>
      </c>
      <c r="B48" s="855">
        <v>149139</v>
      </c>
      <c r="C48" s="855">
        <v>150292</v>
      </c>
      <c r="D48" s="855">
        <v>153893</v>
      </c>
      <c r="E48" s="855">
        <v>157062</v>
      </c>
      <c r="F48" s="855">
        <v>159943</v>
      </c>
      <c r="G48" s="965">
        <v>202283</v>
      </c>
      <c r="H48" s="965">
        <v>203436</v>
      </c>
      <c r="I48" s="965">
        <v>207037</v>
      </c>
      <c r="J48" s="965">
        <v>210206</v>
      </c>
      <c r="K48" s="965">
        <v>213087</v>
      </c>
    </row>
    <row r="49" spans="1:11">
      <c r="A49" s="857" t="s">
        <v>1138</v>
      </c>
      <c r="B49" s="855">
        <v>157350</v>
      </c>
      <c r="C49" s="855">
        <v>159079</v>
      </c>
      <c r="D49" s="855">
        <v>164408</v>
      </c>
      <c r="E49" s="855">
        <v>169306</v>
      </c>
      <c r="F49" s="855">
        <v>173483</v>
      </c>
      <c r="G49" s="965">
        <v>210494</v>
      </c>
      <c r="H49" s="965">
        <v>212223</v>
      </c>
      <c r="I49" s="965">
        <v>217552</v>
      </c>
      <c r="J49" s="965">
        <v>222450</v>
      </c>
      <c r="K49" s="965">
        <v>226627</v>
      </c>
    </row>
    <row r="50" spans="1:11">
      <c r="A50" s="857" t="s">
        <v>1139</v>
      </c>
      <c r="B50" s="855">
        <v>132862</v>
      </c>
      <c r="C50" s="855">
        <v>132862</v>
      </c>
      <c r="D50" s="855">
        <v>132862</v>
      </c>
      <c r="E50" s="855">
        <v>132862</v>
      </c>
      <c r="F50" s="855">
        <v>132862</v>
      </c>
      <c r="G50" s="965">
        <v>186006</v>
      </c>
      <c r="H50" s="965">
        <v>186006</v>
      </c>
      <c r="I50" s="965">
        <v>186006</v>
      </c>
      <c r="J50" s="965">
        <v>186006</v>
      </c>
      <c r="K50" s="965">
        <v>186006</v>
      </c>
    </row>
    <row r="51" spans="1:11">
      <c r="A51" s="857" t="s">
        <v>1140</v>
      </c>
      <c r="B51" s="855">
        <v>141073</v>
      </c>
      <c r="C51" s="855">
        <v>141505</v>
      </c>
      <c r="D51" s="855">
        <v>143377</v>
      </c>
      <c r="E51" s="855">
        <v>144962</v>
      </c>
      <c r="F51" s="855">
        <v>146402</v>
      </c>
      <c r="G51" s="965">
        <v>194217</v>
      </c>
      <c r="H51" s="965">
        <v>194649</v>
      </c>
      <c r="I51" s="965">
        <v>196521</v>
      </c>
      <c r="J51" s="965">
        <v>198106</v>
      </c>
      <c r="K51" s="965">
        <v>199546</v>
      </c>
    </row>
    <row r="52" spans="1:11">
      <c r="A52" s="857" t="s">
        <v>1141</v>
      </c>
      <c r="B52" s="855">
        <v>149139</v>
      </c>
      <c r="C52" s="855">
        <v>150292</v>
      </c>
      <c r="D52" s="855">
        <v>153893</v>
      </c>
      <c r="E52" s="855">
        <v>157062</v>
      </c>
      <c r="F52" s="855">
        <v>159943</v>
      </c>
      <c r="G52" s="965">
        <v>202283</v>
      </c>
      <c r="H52" s="965">
        <v>203436</v>
      </c>
      <c r="I52" s="965">
        <v>207037</v>
      </c>
      <c r="J52" s="965">
        <v>210206</v>
      </c>
      <c r="K52" s="965">
        <v>213087</v>
      </c>
    </row>
    <row r="53" spans="1:11">
      <c r="A53" s="857" t="s">
        <v>1142</v>
      </c>
      <c r="B53" s="855">
        <v>157350</v>
      </c>
      <c r="C53" s="855">
        <v>159079</v>
      </c>
      <c r="D53" s="855">
        <v>164408</v>
      </c>
      <c r="E53" s="855">
        <v>169306</v>
      </c>
      <c r="F53" s="855">
        <v>173483</v>
      </c>
      <c r="G53" s="965">
        <v>210494</v>
      </c>
      <c r="H53" s="965">
        <v>212223</v>
      </c>
      <c r="I53" s="965">
        <v>217552</v>
      </c>
      <c r="J53" s="965">
        <v>222450</v>
      </c>
      <c r="K53" s="965">
        <v>226627</v>
      </c>
    </row>
    <row r="54" spans="1:11">
      <c r="A54" s="857" t="s">
        <v>1143</v>
      </c>
      <c r="B54" s="855">
        <v>132862</v>
      </c>
      <c r="C54" s="855">
        <v>132862</v>
      </c>
      <c r="D54" s="855">
        <v>132862</v>
      </c>
      <c r="E54" s="855">
        <v>132862</v>
      </c>
      <c r="F54" s="855">
        <v>132862</v>
      </c>
      <c r="G54" s="965">
        <v>186006</v>
      </c>
      <c r="H54" s="965">
        <v>186006</v>
      </c>
      <c r="I54" s="965">
        <v>186006</v>
      </c>
      <c r="J54" s="965">
        <v>186006</v>
      </c>
      <c r="K54" s="965">
        <v>186006</v>
      </c>
    </row>
    <row r="55" spans="1:11">
      <c r="A55" s="857" t="s">
        <v>1144</v>
      </c>
      <c r="B55" s="855">
        <v>141937</v>
      </c>
      <c r="C55" s="855">
        <v>142801</v>
      </c>
      <c r="D55" s="855">
        <v>144674</v>
      </c>
      <c r="E55" s="855">
        <v>146546</v>
      </c>
      <c r="F55" s="855">
        <v>148131</v>
      </c>
      <c r="G55" s="965">
        <v>195081</v>
      </c>
      <c r="H55" s="965">
        <v>195945</v>
      </c>
      <c r="I55" s="965">
        <v>197818</v>
      </c>
      <c r="J55" s="965">
        <v>199690</v>
      </c>
      <c r="K55" s="965">
        <v>201275</v>
      </c>
    </row>
    <row r="56" spans="1:11">
      <c r="A56" s="857" t="s">
        <v>1145</v>
      </c>
      <c r="B56" s="855">
        <v>151156</v>
      </c>
      <c r="C56" s="855">
        <v>152596</v>
      </c>
      <c r="D56" s="855">
        <v>156486</v>
      </c>
      <c r="E56" s="855">
        <v>160087</v>
      </c>
      <c r="F56" s="855">
        <v>163256</v>
      </c>
      <c r="G56" s="965">
        <v>204300</v>
      </c>
      <c r="H56" s="965">
        <v>205740</v>
      </c>
      <c r="I56" s="965">
        <v>209630</v>
      </c>
      <c r="J56" s="965">
        <v>213231</v>
      </c>
      <c r="K56" s="965">
        <v>216400</v>
      </c>
    </row>
    <row r="57" spans="1:11">
      <c r="A57" s="857" t="s">
        <v>1146</v>
      </c>
      <c r="B57" s="855">
        <v>160375</v>
      </c>
      <c r="C57" s="855">
        <v>162392</v>
      </c>
      <c r="D57" s="855">
        <v>168298</v>
      </c>
      <c r="E57" s="855">
        <v>173771</v>
      </c>
      <c r="F57" s="855">
        <v>178525</v>
      </c>
      <c r="G57" s="965">
        <v>213519</v>
      </c>
      <c r="H57" s="965">
        <v>215536</v>
      </c>
      <c r="I57" s="965">
        <v>221442</v>
      </c>
      <c r="J57" s="965">
        <v>226915</v>
      </c>
      <c r="K57" s="965">
        <v>231669</v>
      </c>
    </row>
    <row r="58" spans="1:11">
      <c r="A58" s="857" t="s">
        <v>1147</v>
      </c>
      <c r="B58" s="855">
        <v>132862</v>
      </c>
      <c r="C58" s="855">
        <v>132862</v>
      </c>
      <c r="D58" s="855">
        <v>132862</v>
      </c>
      <c r="E58" s="855">
        <v>132862</v>
      </c>
      <c r="F58" s="855">
        <v>132862</v>
      </c>
      <c r="G58" s="965">
        <v>186006</v>
      </c>
      <c r="H58" s="965">
        <v>186006</v>
      </c>
      <c r="I58" s="965">
        <v>186006</v>
      </c>
      <c r="J58" s="965">
        <v>186006</v>
      </c>
      <c r="K58" s="965">
        <v>186006</v>
      </c>
    </row>
    <row r="59" spans="1:11">
      <c r="A59" s="857" t="s">
        <v>1148</v>
      </c>
      <c r="B59" s="855">
        <v>141073</v>
      </c>
      <c r="C59" s="855">
        <v>141505</v>
      </c>
      <c r="D59" s="855">
        <v>143377</v>
      </c>
      <c r="E59" s="855">
        <v>144962</v>
      </c>
      <c r="F59" s="855">
        <v>146402</v>
      </c>
      <c r="G59" s="965">
        <v>194217</v>
      </c>
      <c r="H59" s="965">
        <v>194649</v>
      </c>
      <c r="I59" s="965">
        <v>196521</v>
      </c>
      <c r="J59" s="965">
        <v>198106</v>
      </c>
      <c r="K59" s="965">
        <v>199546</v>
      </c>
    </row>
    <row r="60" spans="1:11">
      <c r="A60" s="857" t="s">
        <v>1149</v>
      </c>
      <c r="B60" s="855">
        <v>149139</v>
      </c>
      <c r="C60" s="855">
        <v>150292</v>
      </c>
      <c r="D60" s="855">
        <v>153893</v>
      </c>
      <c r="E60" s="855">
        <v>157062</v>
      </c>
      <c r="F60" s="855">
        <v>159943</v>
      </c>
      <c r="G60" s="965">
        <v>202283</v>
      </c>
      <c r="H60" s="965">
        <v>203436</v>
      </c>
      <c r="I60" s="965">
        <v>207037</v>
      </c>
      <c r="J60" s="965">
        <v>210206</v>
      </c>
      <c r="K60" s="965">
        <v>213087</v>
      </c>
    </row>
    <row r="61" spans="1:11">
      <c r="A61" s="857" t="s">
        <v>1150</v>
      </c>
      <c r="B61" s="855">
        <v>157350</v>
      </c>
      <c r="C61" s="855">
        <v>159079</v>
      </c>
      <c r="D61" s="855">
        <v>164408</v>
      </c>
      <c r="E61" s="855">
        <v>169306</v>
      </c>
      <c r="F61" s="855">
        <v>173483</v>
      </c>
      <c r="G61" s="965">
        <v>210494</v>
      </c>
      <c r="H61" s="965">
        <v>212223</v>
      </c>
      <c r="I61" s="965">
        <v>217552</v>
      </c>
      <c r="J61" s="965">
        <v>222450</v>
      </c>
      <c r="K61" s="965">
        <v>226627</v>
      </c>
    </row>
    <row r="62" spans="1:11">
      <c r="A62" s="857" t="s">
        <v>1151</v>
      </c>
      <c r="B62" s="855">
        <v>132862</v>
      </c>
      <c r="C62" s="855">
        <v>132862</v>
      </c>
      <c r="D62" s="855">
        <v>132862</v>
      </c>
      <c r="E62" s="855">
        <v>132862</v>
      </c>
      <c r="F62" s="855">
        <v>132862</v>
      </c>
      <c r="G62" s="965">
        <v>186006</v>
      </c>
      <c r="H62" s="965">
        <v>186006</v>
      </c>
      <c r="I62" s="965">
        <v>186006</v>
      </c>
      <c r="J62" s="965">
        <v>186006</v>
      </c>
      <c r="K62" s="965">
        <v>186006</v>
      </c>
    </row>
    <row r="63" spans="1:11">
      <c r="A63" s="857" t="s">
        <v>1152</v>
      </c>
      <c r="B63" s="855">
        <v>141073</v>
      </c>
      <c r="C63" s="855">
        <v>141505</v>
      </c>
      <c r="D63" s="855">
        <v>143377</v>
      </c>
      <c r="E63" s="855">
        <v>144962</v>
      </c>
      <c r="F63" s="855">
        <v>146402</v>
      </c>
      <c r="G63" s="965">
        <v>194217</v>
      </c>
      <c r="H63" s="965">
        <v>194649</v>
      </c>
      <c r="I63" s="965">
        <v>196521</v>
      </c>
      <c r="J63" s="965">
        <v>198106</v>
      </c>
      <c r="K63" s="965">
        <v>199546</v>
      </c>
    </row>
    <row r="64" spans="1:11">
      <c r="A64" s="857" t="s">
        <v>1153</v>
      </c>
      <c r="B64" s="855">
        <v>149139</v>
      </c>
      <c r="C64" s="855">
        <v>150292</v>
      </c>
      <c r="D64" s="855">
        <v>153893</v>
      </c>
      <c r="E64" s="855">
        <v>157062</v>
      </c>
      <c r="F64" s="855">
        <v>159943</v>
      </c>
      <c r="G64" s="965">
        <v>202283</v>
      </c>
      <c r="H64" s="965">
        <v>203436</v>
      </c>
      <c r="I64" s="965">
        <v>207037</v>
      </c>
      <c r="J64" s="965">
        <v>210206</v>
      </c>
      <c r="K64" s="965">
        <v>213087</v>
      </c>
    </row>
    <row r="65" spans="1:11">
      <c r="A65" s="857" t="s">
        <v>1154</v>
      </c>
      <c r="B65" s="855">
        <v>157350</v>
      </c>
      <c r="C65" s="855">
        <v>159079</v>
      </c>
      <c r="D65" s="855">
        <v>164408</v>
      </c>
      <c r="E65" s="855">
        <v>169306</v>
      </c>
      <c r="F65" s="855">
        <v>173483</v>
      </c>
      <c r="G65" s="965">
        <v>210494</v>
      </c>
      <c r="H65" s="965">
        <v>212223</v>
      </c>
      <c r="I65" s="965">
        <v>217552</v>
      </c>
      <c r="J65" s="965">
        <v>222450</v>
      </c>
      <c r="K65" s="965">
        <v>226627</v>
      </c>
    </row>
    <row r="66" spans="1:11">
      <c r="A66" s="857" t="s">
        <v>1155</v>
      </c>
      <c r="B66" s="855">
        <v>132862</v>
      </c>
      <c r="C66" s="855">
        <v>132862</v>
      </c>
      <c r="D66" s="855">
        <v>132862</v>
      </c>
      <c r="E66" s="855">
        <v>132862</v>
      </c>
      <c r="F66" s="855">
        <v>132862</v>
      </c>
      <c r="G66" s="965">
        <v>186006</v>
      </c>
      <c r="H66" s="965">
        <v>186006</v>
      </c>
      <c r="I66" s="965">
        <v>186006</v>
      </c>
      <c r="J66" s="965">
        <v>186006</v>
      </c>
      <c r="K66" s="965">
        <v>186006</v>
      </c>
    </row>
    <row r="67" spans="1:11">
      <c r="A67" s="857" t="s">
        <v>1156</v>
      </c>
      <c r="B67" s="855">
        <v>141073</v>
      </c>
      <c r="C67" s="855">
        <v>141505</v>
      </c>
      <c r="D67" s="855">
        <v>143377</v>
      </c>
      <c r="E67" s="855">
        <v>144962</v>
      </c>
      <c r="F67" s="855">
        <v>146402</v>
      </c>
      <c r="G67" s="965">
        <v>194217</v>
      </c>
      <c r="H67" s="965">
        <v>194649</v>
      </c>
      <c r="I67" s="965">
        <v>196521</v>
      </c>
      <c r="J67" s="965">
        <v>198106</v>
      </c>
      <c r="K67" s="965">
        <v>199546</v>
      </c>
    </row>
    <row r="68" spans="1:11">
      <c r="A68" s="857" t="s">
        <v>1157</v>
      </c>
      <c r="B68" s="855">
        <v>149139</v>
      </c>
      <c r="C68" s="855">
        <v>150292</v>
      </c>
      <c r="D68" s="855">
        <v>153893</v>
      </c>
      <c r="E68" s="855">
        <v>157062</v>
      </c>
      <c r="F68" s="855">
        <v>159943</v>
      </c>
      <c r="G68" s="965">
        <v>202283</v>
      </c>
      <c r="H68" s="965">
        <v>203436</v>
      </c>
      <c r="I68" s="965">
        <v>207037</v>
      </c>
      <c r="J68" s="965">
        <v>210206</v>
      </c>
      <c r="K68" s="965">
        <v>213087</v>
      </c>
    </row>
    <row r="69" spans="1:11">
      <c r="A69" s="857" t="s">
        <v>1158</v>
      </c>
      <c r="B69" s="855">
        <v>157350</v>
      </c>
      <c r="C69" s="855">
        <v>159079</v>
      </c>
      <c r="D69" s="855">
        <v>164408</v>
      </c>
      <c r="E69" s="855">
        <v>169306</v>
      </c>
      <c r="F69" s="855">
        <v>173483</v>
      </c>
      <c r="G69" s="965">
        <v>210494</v>
      </c>
      <c r="H69" s="965">
        <v>212223</v>
      </c>
      <c r="I69" s="965">
        <v>217552</v>
      </c>
      <c r="J69" s="965">
        <v>222450</v>
      </c>
      <c r="K69" s="965">
        <v>226627</v>
      </c>
    </row>
    <row r="70" spans="1:11">
      <c r="A70" s="857" t="s">
        <v>1159</v>
      </c>
      <c r="B70" s="855">
        <v>132862</v>
      </c>
      <c r="C70" s="855">
        <v>132862</v>
      </c>
      <c r="D70" s="855">
        <v>132862</v>
      </c>
      <c r="E70" s="855">
        <v>132862</v>
      </c>
      <c r="F70" s="855">
        <v>132862</v>
      </c>
      <c r="G70" s="965">
        <v>186006</v>
      </c>
      <c r="H70" s="965">
        <v>186006</v>
      </c>
      <c r="I70" s="965">
        <v>186006</v>
      </c>
      <c r="J70" s="965">
        <v>186006</v>
      </c>
      <c r="K70" s="965">
        <v>186006</v>
      </c>
    </row>
    <row r="71" spans="1:11">
      <c r="A71" s="857" t="s">
        <v>1160</v>
      </c>
      <c r="B71" s="855">
        <v>141505</v>
      </c>
      <c r="C71" s="855">
        <v>142081</v>
      </c>
      <c r="D71" s="855">
        <v>143954</v>
      </c>
      <c r="E71" s="855">
        <v>145538</v>
      </c>
      <c r="F71" s="855">
        <v>147123</v>
      </c>
      <c r="G71" s="965">
        <v>194649</v>
      </c>
      <c r="H71" s="965">
        <v>195225</v>
      </c>
      <c r="I71" s="965">
        <v>197098</v>
      </c>
      <c r="J71" s="965">
        <v>198682</v>
      </c>
      <c r="K71" s="965">
        <v>200267</v>
      </c>
    </row>
    <row r="72" spans="1:11">
      <c r="A72" s="857" t="s">
        <v>1161</v>
      </c>
      <c r="B72" s="855">
        <v>150148</v>
      </c>
      <c r="C72" s="855">
        <v>151300</v>
      </c>
      <c r="D72" s="855">
        <v>155045</v>
      </c>
      <c r="E72" s="855">
        <v>158358</v>
      </c>
      <c r="F72" s="855">
        <v>161383</v>
      </c>
      <c r="G72" s="965">
        <v>203292</v>
      </c>
      <c r="H72" s="965">
        <v>204444</v>
      </c>
      <c r="I72" s="965">
        <v>208189</v>
      </c>
      <c r="J72" s="965">
        <v>211502</v>
      </c>
      <c r="K72" s="965">
        <v>214527</v>
      </c>
    </row>
    <row r="73" spans="1:11">
      <c r="A73" s="857" t="s">
        <v>1162</v>
      </c>
      <c r="B73" s="855">
        <v>158791</v>
      </c>
      <c r="C73" s="855">
        <v>160519</v>
      </c>
      <c r="D73" s="855">
        <v>166137</v>
      </c>
      <c r="E73" s="855">
        <v>171179</v>
      </c>
      <c r="F73" s="855">
        <v>175644</v>
      </c>
      <c r="G73" s="965">
        <v>211935</v>
      </c>
      <c r="H73" s="965">
        <v>213663</v>
      </c>
      <c r="I73" s="965">
        <v>219281</v>
      </c>
      <c r="J73" s="965">
        <v>224323</v>
      </c>
      <c r="K73" s="965">
        <v>228788</v>
      </c>
    </row>
    <row r="74" spans="1:11">
      <c r="A74" s="857" t="s">
        <v>1163</v>
      </c>
      <c r="B74" s="855">
        <v>132862</v>
      </c>
      <c r="C74" s="855">
        <v>132862</v>
      </c>
      <c r="D74" s="855">
        <v>132862</v>
      </c>
      <c r="E74" s="855">
        <v>132862</v>
      </c>
      <c r="F74" s="855">
        <v>132862</v>
      </c>
      <c r="G74" s="965">
        <v>186006</v>
      </c>
      <c r="H74" s="965">
        <v>186006</v>
      </c>
      <c r="I74" s="965">
        <v>186006</v>
      </c>
      <c r="J74" s="965">
        <v>186006</v>
      </c>
      <c r="K74" s="965">
        <v>186006</v>
      </c>
    </row>
    <row r="75" spans="1:11">
      <c r="A75" s="857" t="s">
        <v>1164</v>
      </c>
      <c r="B75" s="855">
        <v>146114</v>
      </c>
      <c r="C75" s="855">
        <v>146979</v>
      </c>
      <c r="D75" s="855">
        <v>149860</v>
      </c>
      <c r="E75" s="855">
        <v>152452</v>
      </c>
      <c r="F75" s="855">
        <v>154757</v>
      </c>
      <c r="G75" s="965">
        <v>199258</v>
      </c>
      <c r="H75" s="965">
        <v>200123</v>
      </c>
      <c r="I75" s="965">
        <v>203004</v>
      </c>
      <c r="J75" s="965">
        <v>205596</v>
      </c>
      <c r="K75" s="965">
        <v>207901</v>
      </c>
    </row>
    <row r="76" spans="1:11">
      <c r="A76" s="857" t="s">
        <v>1165</v>
      </c>
      <c r="B76" s="855">
        <v>159223</v>
      </c>
      <c r="C76" s="855">
        <v>161095</v>
      </c>
      <c r="D76" s="855">
        <v>166713</v>
      </c>
      <c r="E76" s="855">
        <v>171899</v>
      </c>
      <c r="F76" s="855">
        <v>176508</v>
      </c>
      <c r="G76" s="965">
        <v>212367</v>
      </c>
      <c r="H76" s="965">
        <v>214239</v>
      </c>
      <c r="I76" s="965">
        <v>219857</v>
      </c>
      <c r="J76" s="965">
        <v>225043</v>
      </c>
      <c r="K76" s="965">
        <v>229652</v>
      </c>
    </row>
    <row r="77" spans="1:11">
      <c r="A77" s="857" t="s">
        <v>1166</v>
      </c>
      <c r="B77" s="855">
        <v>172331</v>
      </c>
      <c r="C77" s="855">
        <v>175212</v>
      </c>
      <c r="D77" s="855">
        <v>183711</v>
      </c>
      <c r="E77" s="855">
        <v>191489</v>
      </c>
      <c r="F77" s="855">
        <v>198404</v>
      </c>
      <c r="G77" s="965">
        <v>225475</v>
      </c>
      <c r="H77" s="965">
        <v>228356</v>
      </c>
      <c r="I77" s="965">
        <v>236855</v>
      </c>
      <c r="J77" s="965">
        <v>244633</v>
      </c>
      <c r="K77" s="965">
        <v>251548</v>
      </c>
    </row>
    <row r="78" spans="1:11">
      <c r="A78" s="857" t="s">
        <v>1167</v>
      </c>
      <c r="B78" s="855">
        <v>132862</v>
      </c>
      <c r="C78" s="855">
        <v>132862</v>
      </c>
      <c r="D78" s="855">
        <v>132862</v>
      </c>
      <c r="E78" s="855">
        <v>132862</v>
      </c>
      <c r="F78" s="855">
        <v>132862</v>
      </c>
      <c r="G78" s="965">
        <v>186006</v>
      </c>
      <c r="H78" s="965">
        <v>186006</v>
      </c>
      <c r="I78" s="965">
        <v>186006</v>
      </c>
      <c r="J78" s="965">
        <v>186006</v>
      </c>
      <c r="K78" s="965">
        <v>186006</v>
      </c>
    </row>
    <row r="79" spans="1:11">
      <c r="A79" s="857" t="s">
        <v>1168</v>
      </c>
      <c r="B79" s="855">
        <v>141073</v>
      </c>
      <c r="C79" s="855">
        <v>141505</v>
      </c>
      <c r="D79" s="855">
        <v>143377</v>
      </c>
      <c r="E79" s="855">
        <v>144962</v>
      </c>
      <c r="F79" s="855">
        <v>146402</v>
      </c>
      <c r="G79" s="965">
        <v>194217</v>
      </c>
      <c r="H79" s="965">
        <v>194649</v>
      </c>
      <c r="I79" s="965">
        <v>196521</v>
      </c>
      <c r="J79" s="965">
        <v>198106</v>
      </c>
      <c r="K79" s="965">
        <v>199546</v>
      </c>
    </row>
    <row r="80" spans="1:11">
      <c r="A80" s="857" t="s">
        <v>1169</v>
      </c>
      <c r="B80" s="855">
        <v>149139</v>
      </c>
      <c r="C80" s="855">
        <v>150292</v>
      </c>
      <c r="D80" s="855">
        <v>153893</v>
      </c>
      <c r="E80" s="855">
        <v>157062</v>
      </c>
      <c r="F80" s="855">
        <v>159943</v>
      </c>
      <c r="G80" s="965">
        <v>202283</v>
      </c>
      <c r="H80" s="965">
        <v>203436</v>
      </c>
      <c r="I80" s="965">
        <v>207037</v>
      </c>
      <c r="J80" s="965">
        <v>210206</v>
      </c>
      <c r="K80" s="965">
        <v>213087</v>
      </c>
    </row>
    <row r="81" spans="1:11">
      <c r="A81" s="857" t="s">
        <v>1170</v>
      </c>
      <c r="B81" s="855">
        <v>157350</v>
      </c>
      <c r="C81" s="855">
        <v>159079</v>
      </c>
      <c r="D81" s="855">
        <v>164408</v>
      </c>
      <c r="E81" s="855">
        <v>169306</v>
      </c>
      <c r="F81" s="855">
        <v>173483</v>
      </c>
      <c r="G81" s="965">
        <v>210494</v>
      </c>
      <c r="H81" s="965">
        <v>212223</v>
      </c>
      <c r="I81" s="965">
        <v>217552</v>
      </c>
      <c r="J81" s="965">
        <v>222450</v>
      </c>
      <c r="K81" s="965">
        <v>226627</v>
      </c>
    </row>
    <row r="82" spans="1:11">
      <c r="A82" s="857" t="s">
        <v>1171</v>
      </c>
      <c r="B82" s="855">
        <v>132862</v>
      </c>
      <c r="C82" s="855">
        <v>132862</v>
      </c>
      <c r="D82" s="855">
        <v>132862</v>
      </c>
      <c r="E82" s="855">
        <v>132862</v>
      </c>
      <c r="F82" s="855">
        <v>132862</v>
      </c>
      <c r="G82" s="965">
        <v>186006</v>
      </c>
      <c r="H82" s="965">
        <v>186006</v>
      </c>
      <c r="I82" s="965">
        <v>186006</v>
      </c>
      <c r="J82" s="965">
        <v>186006</v>
      </c>
      <c r="K82" s="965">
        <v>186006</v>
      </c>
    </row>
    <row r="83" spans="1:11">
      <c r="A83" s="857" t="s">
        <v>1172</v>
      </c>
      <c r="B83" s="855">
        <v>153173</v>
      </c>
      <c r="C83" s="855">
        <v>154757</v>
      </c>
      <c r="D83" s="855">
        <v>159079</v>
      </c>
      <c r="E83" s="855">
        <v>163112</v>
      </c>
      <c r="F83" s="855">
        <v>166569</v>
      </c>
      <c r="G83" s="965">
        <v>206317</v>
      </c>
      <c r="H83" s="965">
        <v>207901</v>
      </c>
      <c r="I83" s="965">
        <v>212223</v>
      </c>
      <c r="J83" s="965">
        <v>216256</v>
      </c>
      <c r="K83" s="965">
        <v>219713</v>
      </c>
    </row>
    <row r="84" spans="1:11">
      <c r="A84" s="857" t="s">
        <v>1173</v>
      </c>
      <c r="B84" s="855">
        <v>173483</v>
      </c>
      <c r="C84" s="855">
        <v>176508</v>
      </c>
      <c r="D84" s="855">
        <v>185151</v>
      </c>
      <c r="E84" s="855">
        <v>193218</v>
      </c>
      <c r="F84" s="855">
        <v>200132</v>
      </c>
      <c r="G84" s="965">
        <v>226627</v>
      </c>
      <c r="H84" s="965">
        <v>229652</v>
      </c>
      <c r="I84" s="965">
        <v>238295</v>
      </c>
      <c r="J84" s="965">
        <v>246362</v>
      </c>
      <c r="K84" s="965">
        <v>253276</v>
      </c>
    </row>
    <row r="85" spans="1:11">
      <c r="A85" s="857" t="s">
        <v>1174</v>
      </c>
      <c r="B85" s="855">
        <v>193794</v>
      </c>
      <c r="C85" s="855">
        <v>198259</v>
      </c>
      <c r="D85" s="855">
        <v>211224</v>
      </c>
      <c r="E85" s="855">
        <v>223468</v>
      </c>
      <c r="F85" s="855">
        <v>233839</v>
      </c>
      <c r="G85" s="965">
        <v>246938</v>
      </c>
      <c r="H85" s="965">
        <v>251403</v>
      </c>
      <c r="I85" s="965">
        <v>264368</v>
      </c>
      <c r="J85" s="965">
        <v>276612</v>
      </c>
      <c r="K85" s="965">
        <v>286983</v>
      </c>
    </row>
    <row r="86" spans="1:11">
      <c r="A86" s="857" t="s">
        <v>1175</v>
      </c>
      <c r="B86" s="855">
        <v>132862</v>
      </c>
      <c r="C86" s="855">
        <v>132862</v>
      </c>
      <c r="D86" s="855">
        <v>132862</v>
      </c>
      <c r="E86" s="855">
        <v>132862</v>
      </c>
      <c r="F86" s="855">
        <v>132862</v>
      </c>
      <c r="G86" s="965">
        <v>186006</v>
      </c>
      <c r="H86" s="965">
        <v>186006</v>
      </c>
      <c r="I86" s="965">
        <v>186006</v>
      </c>
      <c r="J86" s="965">
        <v>186006</v>
      </c>
      <c r="K86" s="965">
        <v>186006</v>
      </c>
    </row>
    <row r="87" spans="1:11">
      <c r="A87" s="857" t="s">
        <v>1176</v>
      </c>
      <c r="B87" s="855">
        <v>141073</v>
      </c>
      <c r="C87" s="855">
        <v>141505</v>
      </c>
      <c r="D87" s="855">
        <v>143377</v>
      </c>
      <c r="E87" s="855">
        <v>144962</v>
      </c>
      <c r="F87" s="855">
        <v>146402</v>
      </c>
      <c r="G87" s="965">
        <v>194217</v>
      </c>
      <c r="H87" s="965">
        <v>194649</v>
      </c>
      <c r="I87" s="965">
        <v>196521</v>
      </c>
      <c r="J87" s="965">
        <v>198106</v>
      </c>
      <c r="K87" s="965">
        <v>199546</v>
      </c>
    </row>
    <row r="88" spans="1:11">
      <c r="A88" s="857" t="s">
        <v>1177</v>
      </c>
      <c r="B88" s="855">
        <v>149139</v>
      </c>
      <c r="C88" s="855">
        <v>150292</v>
      </c>
      <c r="D88" s="855">
        <v>153893</v>
      </c>
      <c r="E88" s="855">
        <v>157062</v>
      </c>
      <c r="F88" s="855">
        <v>159943</v>
      </c>
      <c r="G88" s="965">
        <v>202283</v>
      </c>
      <c r="H88" s="965">
        <v>203436</v>
      </c>
      <c r="I88" s="965">
        <v>207037</v>
      </c>
      <c r="J88" s="965">
        <v>210206</v>
      </c>
      <c r="K88" s="965">
        <v>213087</v>
      </c>
    </row>
    <row r="89" spans="1:11">
      <c r="A89" s="857" t="s">
        <v>1178</v>
      </c>
      <c r="B89" s="855">
        <v>157350</v>
      </c>
      <c r="C89" s="855">
        <v>159079</v>
      </c>
      <c r="D89" s="855">
        <v>164408</v>
      </c>
      <c r="E89" s="855">
        <v>169306</v>
      </c>
      <c r="F89" s="855">
        <v>173483</v>
      </c>
      <c r="G89" s="965">
        <v>210494</v>
      </c>
      <c r="H89" s="965">
        <v>212223</v>
      </c>
      <c r="I89" s="965">
        <v>217552</v>
      </c>
      <c r="J89" s="965">
        <v>222450</v>
      </c>
      <c r="K89" s="965">
        <v>226627</v>
      </c>
    </row>
    <row r="90" spans="1:11">
      <c r="A90" s="857" t="s">
        <v>1179</v>
      </c>
      <c r="B90" s="855">
        <v>132862</v>
      </c>
      <c r="C90" s="855">
        <v>132862</v>
      </c>
      <c r="D90" s="855">
        <v>132862</v>
      </c>
      <c r="E90" s="855">
        <v>132862</v>
      </c>
      <c r="F90" s="855">
        <v>132862</v>
      </c>
      <c r="G90" s="965">
        <v>186006</v>
      </c>
      <c r="H90" s="965">
        <v>186006</v>
      </c>
      <c r="I90" s="965">
        <v>186006</v>
      </c>
      <c r="J90" s="965">
        <v>186006</v>
      </c>
      <c r="K90" s="965">
        <v>186006</v>
      </c>
    </row>
    <row r="91" spans="1:11">
      <c r="A91" s="857" t="s">
        <v>1180</v>
      </c>
      <c r="B91" s="855">
        <v>141073</v>
      </c>
      <c r="C91" s="855">
        <v>141505</v>
      </c>
      <c r="D91" s="855">
        <v>143377</v>
      </c>
      <c r="E91" s="855">
        <v>144962</v>
      </c>
      <c r="F91" s="855">
        <v>146402</v>
      </c>
      <c r="G91" s="965">
        <v>194217</v>
      </c>
      <c r="H91" s="965">
        <v>194649</v>
      </c>
      <c r="I91" s="965">
        <v>196521</v>
      </c>
      <c r="J91" s="965">
        <v>198106</v>
      </c>
      <c r="K91" s="965">
        <v>199546</v>
      </c>
    </row>
    <row r="92" spans="1:11">
      <c r="A92" s="857" t="s">
        <v>1181</v>
      </c>
      <c r="B92" s="855">
        <v>149139</v>
      </c>
      <c r="C92" s="855">
        <v>150292</v>
      </c>
      <c r="D92" s="855">
        <v>153893</v>
      </c>
      <c r="E92" s="855">
        <v>157062</v>
      </c>
      <c r="F92" s="855">
        <v>159943</v>
      </c>
      <c r="G92" s="965">
        <v>202283</v>
      </c>
      <c r="H92" s="965">
        <v>203436</v>
      </c>
      <c r="I92" s="965">
        <v>207037</v>
      </c>
      <c r="J92" s="965">
        <v>210206</v>
      </c>
      <c r="K92" s="965">
        <v>213087</v>
      </c>
    </row>
    <row r="93" spans="1:11">
      <c r="A93" s="857" t="s">
        <v>1182</v>
      </c>
      <c r="B93" s="855">
        <v>157350</v>
      </c>
      <c r="C93" s="855">
        <v>159079</v>
      </c>
      <c r="D93" s="855">
        <v>164408</v>
      </c>
      <c r="E93" s="855">
        <v>169306</v>
      </c>
      <c r="F93" s="855">
        <v>173483</v>
      </c>
      <c r="G93" s="965">
        <v>210494</v>
      </c>
      <c r="H93" s="965">
        <v>212223</v>
      </c>
      <c r="I93" s="965">
        <v>217552</v>
      </c>
      <c r="J93" s="965">
        <v>222450</v>
      </c>
      <c r="K93" s="965">
        <v>226627</v>
      </c>
    </row>
    <row r="94" spans="1:11">
      <c r="A94" s="857" t="s">
        <v>1183</v>
      </c>
      <c r="B94" s="855">
        <v>132862</v>
      </c>
      <c r="C94" s="855">
        <v>132862</v>
      </c>
      <c r="D94" s="855">
        <v>132862</v>
      </c>
      <c r="E94" s="855">
        <v>132862</v>
      </c>
      <c r="F94" s="855">
        <v>132862</v>
      </c>
      <c r="G94" s="965">
        <v>186006</v>
      </c>
      <c r="H94" s="965">
        <v>186006</v>
      </c>
      <c r="I94" s="965">
        <v>186006</v>
      </c>
      <c r="J94" s="965">
        <v>186006</v>
      </c>
      <c r="K94" s="965">
        <v>186006</v>
      </c>
    </row>
    <row r="95" spans="1:11">
      <c r="A95" s="857" t="s">
        <v>1184</v>
      </c>
      <c r="B95" s="855">
        <v>141073</v>
      </c>
      <c r="C95" s="855">
        <v>141505</v>
      </c>
      <c r="D95" s="855">
        <v>143377</v>
      </c>
      <c r="E95" s="855">
        <v>144962</v>
      </c>
      <c r="F95" s="855">
        <v>146402</v>
      </c>
      <c r="G95" s="965">
        <v>194217</v>
      </c>
      <c r="H95" s="965">
        <v>194649</v>
      </c>
      <c r="I95" s="965">
        <v>196521</v>
      </c>
      <c r="J95" s="965">
        <v>198106</v>
      </c>
      <c r="K95" s="965">
        <v>199546</v>
      </c>
    </row>
    <row r="96" spans="1:11">
      <c r="A96" s="857" t="s">
        <v>1185</v>
      </c>
      <c r="B96" s="855">
        <v>149139</v>
      </c>
      <c r="C96" s="855">
        <v>150292</v>
      </c>
      <c r="D96" s="855">
        <v>153893</v>
      </c>
      <c r="E96" s="855">
        <v>157062</v>
      </c>
      <c r="F96" s="855">
        <v>159943</v>
      </c>
      <c r="G96" s="965">
        <v>202283</v>
      </c>
      <c r="H96" s="965">
        <v>203436</v>
      </c>
      <c r="I96" s="965">
        <v>207037</v>
      </c>
      <c r="J96" s="965">
        <v>210206</v>
      </c>
      <c r="K96" s="965">
        <v>213087</v>
      </c>
    </row>
    <row r="97" spans="1:11">
      <c r="A97" s="857" t="s">
        <v>1186</v>
      </c>
      <c r="B97" s="855">
        <v>157350</v>
      </c>
      <c r="C97" s="855">
        <v>159079</v>
      </c>
      <c r="D97" s="855">
        <v>164408</v>
      </c>
      <c r="E97" s="855">
        <v>169306</v>
      </c>
      <c r="F97" s="855">
        <v>173483</v>
      </c>
      <c r="G97" s="965">
        <v>210494</v>
      </c>
      <c r="H97" s="965">
        <v>212223</v>
      </c>
      <c r="I97" s="965">
        <v>217552</v>
      </c>
      <c r="J97" s="965">
        <v>222450</v>
      </c>
      <c r="K97" s="965">
        <v>226627</v>
      </c>
    </row>
    <row r="98" spans="1:11">
      <c r="A98" s="857" t="s">
        <v>1187</v>
      </c>
      <c r="B98" s="855">
        <v>132862</v>
      </c>
      <c r="C98" s="855">
        <v>132862</v>
      </c>
      <c r="D98" s="855">
        <v>132862</v>
      </c>
      <c r="E98" s="855">
        <v>132862</v>
      </c>
      <c r="F98" s="855">
        <v>132862</v>
      </c>
      <c r="G98" s="965">
        <v>186006</v>
      </c>
      <c r="H98" s="965">
        <v>186006</v>
      </c>
      <c r="I98" s="965">
        <v>186006</v>
      </c>
      <c r="J98" s="965">
        <v>186006</v>
      </c>
      <c r="K98" s="965">
        <v>186006</v>
      </c>
    </row>
    <row r="99" spans="1:11">
      <c r="A99" s="857" t="s">
        <v>1188</v>
      </c>
      <c r="B99" s="855">
        <v>141073</v>
      </c>
      <c r="C99" s="855">
        <v>141505</v>
      </c>
      <c r="D99" s="855">
        <v>143377</v>
      </c>
      <c r="E99" s="855">
        <v>144962</v>
      </c>
      <c r="F99" s="855">
        <v>146402</v>
      </c>
      <c r="G99" s="965">
        <v>194217</v>
      </c>
      <c r="H99" s="965">
        <v>194649</v>
      </c>
      <c r="I99" s="965">
        <v>196521</v>
      </c>
      <c r="J99" s="965">
        <v>198106</v>
      </c>
      <c r="K99" s="965">
        <v>199546</v>
      </c>
    </row>
    <row r="100" spans="1:11">
      <c r="A100" s="857" t="s">
        <v>1189</v>
      </c>
      <c r="B100" s="855">
        <v>149139</v>
      </c>
      <c r="C100" s="855">
        <v>150292</v>
      </c>
      <c r="D100" s="855">
        <v>153893</v>
      </c>
      <c r="E100" s="855">
        <v>157062</v>
      </c>
      <c r="F100" s="855">
        <v>159943</v>
      </c>
      <c r="G100" s="965">
        <v>202283</v>
      </c>
      <c r="H100" s="965">
        <v>203436</v>
      </c>
      <c r="I100" s="965">
        <v>207037</v>
      </c>
      <c r="J100" s="965">
        <v>210206</v>
      </c>
      <c r="K100" s="965">
        <v>213087</v>
      </c>
    </row>
    <row r="101" spans="1:11">
      <c r="A101" s="857" t="s">
        <v>1190</v>
      </c>
      <c r="B101" s="855">
        <v>157350</v>
      </c>
      <c r="C101" s="855">
        <v>159079</v>
      </c>
      <c r="D101" s="855">
        <v>164408</v>
      </c>
      <c r="E101" s="855">
        <v>169306</v>
      </c>
      <c r="F101" s="855">
        <v>173483</v>
      </c>
      <c r="G101" s="965">
        <v>210494</v>
      </c>
      <c r="H101" s="965">
        <v>212223</v>
      </c>
      <c r="I101" s="965">
        <v>217552</v>
      </c>
      <c r="J101" s="965">
        <v>222450</v>
      </c>
      <c r="K101" s="965">
        <v>226627</v>
      </c>
    </row>
    <row r="102" spans="1:11">
      <c r="A102" s="857" t="s">
        <v>1191</v>
      </c>
      <c r="B102" s="855">
        <v>132862</v>
      </c>
      <c r="C102" s="855">
        <v>132862</v>
      </c>
      <c r="D102" s="855">
        <v>132862</v>
      </c>
      <c r="E102" s="855">
        <v>132862</v>
      </c>
      <c r="F102" s="855">
        <v>132862</v>
      </c>
      <c r="G102" s="965">
        <v>186006</v>
      </c>
      <c r="H102" s="965">
        <v>186006</v>
      </c>
      <c r="I102" s="965">
        <v>186006</v>
      </c>
      <c r="J102" s="965">
        <v>186006</v>
      </c>
      <c r="K102" s="965">
        <v>186006</v>
      </c>
    </row>
    <row r="103" spans="1:11">
      <c r="A103" s="857" t="s">
        <v>1192</v>
      </c>
      <c r="B103" s="855">
        <v>142657</v>
      </c>
      <c r="C103" s="855">
        <v>143377</v>
      </c>
      <c r="D103" s="855">
        <v>145538</v>
      </c>
      <c r="E103" s="855">
        <v>147411</v>
      </c>
      <c r="F103" s="855">
        <v>149139</v>
      </c>
      <c r="G103" s="965">
        <v>195801</v>
      </c>
      <c r="H103" s="965">
        <v>196521</v>
      </c>
      <c r="I103" s="965">
        <v>198682</v>
      </c>
      <c r="J103" s="965">
        <v>200555</v>
      </c>
      <c r="K103" s="965">
        <v>202283</v>
      </c>
    </row>
    <row r="104" spans="1:11">
      <c r="A104" s="857" t="s">
        <v>1193</v>
      </c>
      <c r="B104" s="855">
        <v>152452</v>
      </c>
      <c r="C104" s="855">
        <v>153893</v>
      </c>
      <c r="D104" s="855">
        <v>158070</v>
      </c>
      <c r="E104" s="855">
        <v>161960</v>
      </c>
      <c r="F104" s="855">
        <v>165417</v>
      </c>
      <c r="G104" s="965">
        <v>205596</v>
      </c>
      <c r="H104" s="965">
        <v>207037</v>
      </c>
      <c r="I104" s="965">
        <v>211214</v>
      </c>
      <c r="J104" s="965">
        <v>215104</v>
      </c>
      <c r="K104" s="965">
        <v>218561</v>
      </c>
    </row>
    <row r="105" spans="1:11">
      <c r="A105" s="857" t="s">
        <v>1194</v>
      </c>
      <c r="B105" s="855">
        <v>162392</v>
      </c>
      <c r="C105" s="855">
        <v>164408</v>
      </c>
      <c r="D105" s="855">
        <v>170746</v>
      </c>
      <c r="E105" s="855">
        <v>176652</v>
      </c>
      <c r="F105" s="855">
        <v>181694</v>
      </c>
      <c r="G105" s="965">
        <v>215536</v>
      </c>
      <c r="H105" s="965">
        <v>217552</v>
      </c>
      <c r="I105" s="965">
        <v>223890</v>
      </c>
      <c r="J105" s="965">
        <v>229796</v>
      </c>
      <c r="K105" s="965">
        <v>234838</v>
      </c>
    </row>
    <row r="106" spans="1:11">
      <c r="A106" s="857" t="s">
        <v>1195</v>
      </c>
      <c r="B106" s="855">
        <v>132862</v>
      </c>
      <c r="C106" s="855">
        <v>132862</v>
      </c>
      <c r="D106" s="855">
        <v>132862</v>
      </c>
      <c r="E106" s="855">
        <v>132862</v>
      </c>
      <c r="F106" s="855">
        <v>132862</v>
      </c>
      <c r="G106" s="965">
        <v>186006</v>
      </c>
      <c r="H106" s="965">
        <v>186006</v>
      </c>
      <c r="I106" s="965">
        <v>186006</v>
      </c>
      <c r="J106" s="965">
        <v>186006</v>
      </c>
      <c r="K106" s="965">
        <v>186006</v>
      </c>
    </row>
    <row r="107" spans="1:11">
      <c r="A107" s="857" t="s">
        <v>1196</v>
      </c>
      <c r="B107" s="855">
        <v>144098</v>
      </c>
      <c r="C107" s="855">
        <v>144962</v>
      </c>
      <c r="D107" s="855">
        <v>147411</v>
      </c>
      <c r="E107" s="855">
        <v>149716</v>
      </c>
      <c r="F107" s="855">
        <v>151588</v>
      </c>
      <c r="G107" s="965">
        <v>197242</v>
      </c>
      <c r="H107" s="965">
        <v>198106</v>
      </c>
      <c r="I107" s="965">
        <v>200555</v>
      </c>
      <c r="J107" s="965">
        <v>202860</v>
      </c>
      <c r="K107" s="965">
        <v>204732</v>
      </c>
    </row>
    <row r="108" spans="1:11">
      <c r="A108" s="857" t="s">
        <v>1197</v>
      </c>
      <c r="B108" s="855">
        <v>155477</v>
      </c>
      <c r="C108" s="855">
        <v>157062</v>
      </c>
      <c r="D108" s="855">
        <v>161960</v>
      </c>
      <c r="E108" s="855">
        <v>166425</v>
      </c>
      <c r="F108" s="855">
        <v>170314</v>
      </c>
      <c r="G108" s="965">
        <v>208621</v>
      </c>
      <c r="H108" s="965">
        <v>210206</v>
      </c>
      <c r="I108" s="965">
        <v>215104</v>
      </c>
      <c r="J108" s="965">
        <v>219569</v>
      </c>
      <c r="K108" s="965">
        <v>223458</v>
      </c>
    </row>
    <row r="109" spans="1:11">
      <c r="A109" s="857" t="s">
        <v>1198</v>
      </c>
      <c r="B109" s="855">
        <v>166857</v>
      </c>
      <c r="C109" s="855">
        <v>169306</v>
      </c>
      <c r="D109" s="855">
        <v>176508</v>
      </c>
      <c r="E109" s="855">
        <v>183279</v>
      </c>
      <c r="F109" s="855">
        <v>189184</v>
      </c>
      <c r="G109" s="965">
        <v>220001</v>
      </c>
      <c r="H109" s="965">
        <v>222450</v>
      </c>
      <c r="I109" s="965">
        <v>229652</v>
      </c>
      <c r="J109" s="965">
        <v>236423</v>
      </c>
      <c r="K109" s="965">
        <v>242328</v>
      </c>
    </row>
    <row r="110" spans="1:11">
      <c r="A110" s="857" t="s">
        <v>1199</v>
      </c>
      <c r="B110" s="855">
        <v>132862</v>
      </c>
      <c r="C110" s="855">
        <v>132862</v>
      </c>
      <c r="D110" s="855">
        <v>132862</v>
      </c>
      <c r="E110" s="855">
        <v>132862</v>
      </c>
      <c r="F110" s="855">
        <v>132862</v>
      </c>
      <c r="G110" s="965">
        <v>186006</v>
      </c>
      <c r="H110" s="965">
        <v>186006</v>
      </c>
      <c r="I110" s="965">
        <v>186006</v>
      </c>
      <c r="J110" s="965">
        <v>186006</v>
      </c>
      <c r="K110" s="965">
        <v>186006</v>
      </c>
    </row>
    <row r="111" spans="1:11">
      <c r="A111" s="857" t="s">
        <v>1200</v>
      </c>
      <c r="B111" s="855">
        <v>145538</v>
      </c>
      <c r="C111" s="855">
        <v>146546</v>
      </c>
      <c r="D111" s="855">
        <v>149139</v>
      </c>
      <c r="E111" s="855">
        <v>151732</v>
      </c>
      <c r="F111" s="855">
        <v>153749</v>
      </c>
      <c r="G111" s="965">
        <v>198682</v>
      </c>
      <c r="H111" s="965">
        <v>199690</v>
      </c>
      <c r="I111" s="965">
        <v>202283</v>
      </c>
      <c r="J111" s="965">
        <v>204876</v>
      </c>
      <c r="K111" s="965">
        <v>206893</v>
      </c>
    </row>
    <row r="112" spans="1:11">
      <c r="A112" s="857" t="s">
        <v>1201</v>
      </c>
      <c r="B112" s="855">
        <v>158214</v>
      </c>
      <c r="C112" s="855">
        <v>160087</v>
      </c>
      <c r="D112" s="855">
        <v>165417</v>
      </c>
      <c r="E112" s="855">
        <v>170458</v>
      </c>
      <c r="F112" s="855">
        <v>174780</v>
      </c>
      <c r="G112" s="965">
        <v>211358</v>
      </c>
      <c r="H112" s="965">
        <v>213231</v>
      </c>
      <c r="I112" s="965">
        <v>218561</v>
      </c>
      <c r="J112" s="965">
        <v>223602</v>
      </c>
      <c r="K112" s="965">
        <v>227924</v>
      </c>
    </row>
    <row r="113" spans="1:11">
      <c r="A113" s="857" t="s">
        <v>1202</v>
      </c>
      <c r="B113" s="855">
        <v>170890</v>
      </c>
      <c r="C113" s="855">
        <v>173627</v>
      </c>
      <c r="D113" s="855">
        <v>181694</v>
      </c>
      <c r="E113" s="855">
        <v>189329</v>
      </c>
      <c r="F113" s="855">
        <v>195811</v>
      </c>
      <c r="G113" s="965">
        <v>224034</v>
      </c>
      <c r="H113" s="965">
        <v>226771</v>
      </c>
      <c r="I113" s="965">
        <v>234838</v>
      </c>
      <c r="J113" s="965">
        <v>242473</v>
      </c>
      <c r="K113" s="965">
        <v>248955</v>
      </c>
    </row>
    <row r="114" spans="1:11">
      <c r="A114" s="857" t="s">
        <v>1203</v>
      </c>
      <c r="B114" s="855">
        <v>132862</v>
      </c>
      <c r="C114" s="855">
        <v>132862</v>
      </c>
      <c r="D114" s="855">
        <v>132862</v>
      </c>
      <c r="E114" s="855">
        <v>132862</v>
      </c>
      <c r="F114" s="855">
        <v>132862</v>
      </c>
      <c r="G114" s="965">
        <v>186006</v>
      </c>
      <c r="H114" s="965">
        <v>186006</v>
      </c>
      <c r="I114" s="965">
        <v>186006</v>
      </c>
      <c r="J114" s="965">
        <v>186006</v>
      </c>
      <c r="K114" s="965">
        <v>186006</v>
      </c>
    </row>
    <row r="115" spans="1:11">
      <c r="A115" s="857" t="s">
        <v>1204</v>
      </c>
      <c r="B115" s="855">
        <v>142945</v>
      </c>
      <c r="C115" s="855">
        <v>143666</v>
      </c>
      <c r="D115" s="855">
        <v>145826</v>
      </c>
      <c r="E115" s="855">
        <v>147699</v>
      </c>
      <c r="F115" s="855">
        <v>149427</v>
      </c>
      <c r="G115" s="965">
        <v>196089</v>
      </c>
      <c r="H115" s="965">
        <v>196810</v>
      </c>
      <c r="I115" s="965">
        <v>198970</v>
      </c>
      <c r="J115" s="965">
        <v>200843</v>
      </c>
      <c r="K115" s="965">
        <v>202571</v>
      </c>
    </row>
    <row r="116" spans="1:11">
      <c r="A116" s="857" t="s">
        <v>1205</v>
      </c>
      <c r="B116" s="855">
        <v>152885</v>
      </c>
      <c r="C116" s="855">
        <v>154325</v>
      </c>
      <c r="D116" s="855">
        <v>158646</v>
      </c>
      <c r="E116" s="855">
        <v>162680</v>
      </c>
      <c r="F116" s="855">
        <v>166137</v>
      </c>
      <c r="G116" s="965">
        <v>206029</v>
      </c>
      <c r="H116" s="965">
        <v>207469</v>
      </c>
      <c r="I116" s="965">
        <v>211790</v>
      </c>
      <c r="J116" s="965">
        <v>215824</v>
      </c>
      <c r="K116" s="965">
        <v>219281</v>
      </c>
    </row>
    <row r="117" spans="1:11">
      <c r="A117" s="857" t="s">
        <v>1206</v>
      </c>
      <c r="B117" s="855">
        <v>162968</v>
      </c>
      <c r="C117" s="855">
        <v>165129</v>
      </c>
      <c r="D117" s="855">
        <v>171611</v>
      </c>
      <c r="E117" s="855">
        <v>177661</v>
      </c>
      <c r="F117" s="855">
        <v>182846</v>
      </c>
      <c r="G117" s="965">
        <v>216112</v>
      </c>
      <c r="H117" s="965">
        <v>218273</v>
      </c>
      <c r="I117" s="965">
        <v>224755</v>
      </c>
      <c r="J117" s="965">
        <v>230805</v>
      </c>
      <c r="K117" s="965">
        <v>235990</v>
      </c>
    </row>
    <row r="118" spans="1:11">
      <c r="A118" s="857" t="s">
        <v>1207</v>
      </c>
      <c r="B118" s="855">
        <v>132862</v>
      </c>
      <c r="C118" s="855">
        <v>132862</v>
      </c>
      <c r="D118" s="855">
        <v>132862</v>
      </c>
      <c r="E118" s="855">
        <v>132862</v>
      </c>
      <c r="F118" s="855">
        <v>132862</v>
      </c>
      <c r="G118" s="965">
        <v>186006</v>
      </c>
      <c r="H118" s="965">
        <v>186006</v>
      </c>
      <c r="I118" s="965">
        <v>186006</v>
      </c>
      <c r="J118" s="965">
        <v>186006</v>
      </c>
      <c r="K118" s="965">
        <v>186006</v>
      </c>
    </row>
    <row r="119" spans="1:11">
      <c r="A119" s="857" t="s">
        <v>1208</v>
      </c>
      <c r="B119" s="855">
        <v>147843</v>
      </c>
      <c r="C119" s="855">
        <v>148851</v>
      </c>
      <c r="D119" s="855">
        <v>152020</v>
      </c>
      <c r="E119" s="855">
        <v>155045</v>
      </c>
      <c r="F119" s="855">
        <v>157638</v>
      </c>
      <c r="G119" s="965">
        <v>200987</v>
      </c>
      <c r="H119" s="965">
        <v>201995</v>
      </c>
      <c r="I119" s="965">
        <v>205164</v>
      </c>
      <c r="J119" s="965">
        <v>208189</v>
      </c>
      <c r="K119" s="965">
        <v>210782</v>
      </c>
    </row>
    <row r="120" spans="1:11">
      <c r="A120" s="857" t="s">
        <v>1209</v>
      </c>
      <c r="B120" s="855">
        <v>162824</v>
      </c>
      <c r="C120" s="855">
        <v>164841</v>
      </c>
      <c r="D120" s="855">
        <v>171323</v>
      </c>
      <c r="E120" s="855">
        <v>177229</v>
      </c>
      <c r="F120" s="855">
        <v>182414</v>
      </c>
      <c r="G120" s="965">
        <v>215968</v>
      </c>
      <c r="H120" s="965">
        <v>217985</v>
      </c>
      <c r="I120" s="965">
        <v>224467</v>
      </c>
      <c r="J120" s="965">
        <v>230373</v>
      </c>
      <c r="K120" s="965">
        <v>235558</v>
      </c>
    </row>
    <row r="121" spans="1:11">
      <c r="A121" s="857" t="s">
        <v>1210</v>
      </c>
      <c r="B121" s="855">
        <v>177805</v>
      </c>
      <c r="C121" s="855">
        <v>180974</v>
      </c>
      <c r="D121" s="855">
        <v>190625</v>
      </c>
      <c r="E121" s="855">
        <v>199556</v>
      </c>
      <c r="F121" s="855">
        <v>207190</v>
      </c>
      <c r="G121" s="965">
        <v>230949</v>
      </c>
      <c r="H121" s="965">
        <v>234118</v>
      </c>
      <c r="I121" s="965">
        <v>243769</v>
      </c>
      <c r="J121" s="965">
        <v>252700</v>
      </c>
      <c r="K121" s="965">
        <v>260334</v>
      </c>
    </row>
    <row r="122" spans="1:11">
      <c r="A122" s="857" t="s">
        <v>1211</v>
      </c>
      <c r="B122" s="855">
        <v>132862</v>
      </c>
      <c r="C122" s="855">
        <v>132862</v>
      </c>
      <c r="D122" s="855">
        <v>132862</v>
      </c>
      <c r="E122" s="855">
        <v>132862</v>
      </c>
      <c r="F122" s="855">
        <v>132862</v>
      </c>
      <c r="G122" s="965">
        <v>186006</v>
      </c>
      <c r="H122" s="965">
        <v>186006</v>
      </c>
      <c r="I122" s="965">
        <v>186006</v>
      </c>
      <c r="J122" s="965">
        <v>186006</v>
      </c>
      <c r="K122" s="965">
        <v>186006</v>
      </c>
    </row>
    <row r="123" spans="1:11">
      <c r="A123" s="857" t="s">
        <v>1212</v>
      </c>
      <c r="B123" s="855">
        <v>143377</v>
      </c>
      <c r="C123" s="855">
        <v>144098</v>
      </c>
      <c r="D123" s="855">
        <v>146402</v>
      </c>
      <c r="E123" s="855">
        <v>148563</v>
      </c>
      <c r="F123" s="855">
        <v>150292</v>
      </c>
      <c r="G123" s="965">
        <v>196521</v>
      </c>
      <c r="H123" s="965">
        <v>197242</v>
      </c>
      <c r="I123" s="965">
        <v>199546</v>
      </c>
      <c r="J123" s="965">
        <v>201707</v>
      </c>
      <c r="K123" s="965">
        <v>203436</v>
      </c>
    </row>
    <row r="124" spans="1:11">
      <c r="A124" s="857" t="s">
        <v>1213</v>
      </c>
      <c r="B124" s="855">
        <v>153893</v>
      </c>
      <c r="C124" s="855">
        <v>155477</v>
      </c>
      <c r="D124" s="855">
        <v>159943</v>
      </c>
      <c r="E124" s="855">
        <v>164264</v>
      </c>
      <c r="F124" s="855">
        <v>167721</v>
      </c>
      <c r="G124" s="965">
        <v>207037</v>
      </c>
      <c r="H124" s="965">
        <v>208621</v>
      </c>
      <c r="I124" s="965">
        <v>213087</v>
      </c>
      <c r="J124" s="965">
        <v>217408</v>
      </c>
      <c r="K124" s="965">
        <v>220865</v>
      </c>
    </row>
    <row r="125" spans="1:11">
      <c r="A125" s="857" t="s">
        <v>1214</v>
      </c>
      <c r="B125" s="855">
        <v>164552</v>
      </c>
      <c r="C125" s="855">
        <v>166713</v>
      </c>
      <c r="D125" s="855">
        <v>173483</v>
      </c>
      <c r="E125" s="855">
        <v>179821</v>
      </c>
      <c r="F125" s="855">
        <v>185295</v>
      </c>
      <c r="G125" s="965">
        <v>217696</v>
      </c>
      <c r="H125" s="965">
        <v>219857</v>
      </c>
      <c r="I125" s="965">
        <v>226627</v>
      </c>
      <c r="J125" s="965">
        <v>232965</v>
      </c>
      <c r="K125" s="965">
        <v>238439</v>
      </c>
    </row>
    <row r="126" spans="1:11">
      <c r="A126" s="857" t="s">
        <v>1215</v>
      </c>
      <c r="B126" s="855">
        <v>132862</v>
      </c>
      <c r="C126" s="855">
        <v>132862</v>
      </c>
      <c r="D126" s="855">
        <v>132862</v>
      </c>
      <c r="E126" s="855">
        <v>132862</v>
      </c>
      <c r="F126" s="855">
        <v>132862</v>
      </c>
      <c r="G126" s="965">
        <v>186006</v>
      </c>
      <c r="H126" s="965">
        <v>186006</v>
      </c>
      <c r="I126" s="965">
        <v>186006</v>
      </c>
      <c r="J126" s="965">
        <v>186006</v>
      </c>
      <c r="K126" s="965">
        <v>186006</v>
      </c>
    </row>
    <row r="127" spans="1:11">
      <c r="A127" s="857" t="s">
        <v>1216</v>
      </c>
      <c r="B127" s="855">
        <v>141649</v>
      </c>
      <c r="C127" s="855">
        <v>142225</v>
      </c>
      <c r="D127" s="855">
        <v>144242</v>
      </c>
      <c r="E127" s="855">
        <v>145970</v>
      </c>
      <c r="F127" s="855">
        <v>147411</v>
      </c>
      <c r="G127" s="965">
        <v>194793</v>
      </c>
      <c r="H127" s="965">
        <v>195369</v>
      </c>
      <c r="I127" s="965">
        <v>197386</v>
      </c>
      <c r="J127" s="965">
        <v>199114</v>
      </c>
      <c r="K127" s="965">
        <v>200555</v>
      </c>
    </row>
    <row r="128" spans="1:11">
      <c r="A128" s="857" t="s">
        <v>1217</v>
      </c>
      <c r="B128" s="855">
        <v>150436</v>
      </c>
      <c r="C128" s="855">
        <v>151588</v>
      </c>
      <c r="D128" s="855">
        <v>155477</v>
      </c>
      <c r="E128" s="855">
        <v>158935</v>
      </c>
      <c r="F128" s="855">
        <v>161960</v>
      </c>
      <c r="G128" s="965">
        <v>203580</v>
      </c>
      <c r="H128" s="965">
        <v>204732</v>
      </c>
      <c r="I128" s="965">
        <v>208621</v>
      </c>
      <c r="J128" s="965">
        <v>212079</v>
      </c>
      <c r="K128" s="965">
        <v>215104</v>
      </c>
    </row>
    <row r="129" spans="1:11">
      <c r="A129" s="857" t="s">
        <v>1218</v>
      </c>
      <c r="B129" s="855">
        <v>159223</v>
      </c>
      <c r="C129" s="855">
        <v>161095</v>
      </c>
      <c r="D129" s="855">
        <v>166713</v>
      </c>
      <c r="E129" s="855">
        <v>172043</v>
      </c>
      <c r="F129" s="855">
        <v>176508</v>
      </c>
      <c r="G129" s="965">
        <v>212367</v>
      </c>
      <c r="H129" s="965">
        <v>214239</v>
      </c>
      <c r="I129" s="965">
        <v>219857</v>
      </c>
      <c r="J129" s="965">
        <v>225187</v>
      </c>
      <c r="K129" s="965">
        <v>229652</v>
      </c>
    </row>
    <row r="130" spans="1:11">
      <c r="A130" s="857" t="s">
        <v>1219</v>
      </c>
      <c r="B130" s="855">
        <v>132862</v>
      </c>
      <c r="C130" s="855">
        <v>132862</v>
      </c>
      <c r="D130" s="855">
        <v>132862</v>
      </c>
      <c r="E130" s="855">
        <v>132862</v>
      </c>
      <c r="F130" s="855">
        <v>132862</v>
      </c>
      <c r="G130" s="965">
        <v>186006</v>
      </c>
      <c r="H130" s="965">
        <v>186006</v>
      </c>
      <c r="I130" s="965">
        <v>186006</v>
      </c>
      <c r="J130" s="965">
        <v>186006</v>
      </c>
      <c r="K130" s="965">
        <v>186006</v>
      </c>
    </row>
    <row r="131" spans="1:11">
      <c r="A131" s="857" t="s">
        <v>1220</v>
      </c>
      <c r="B131" s="855">
        <v>141937</v>
      </c>
      <c r="C131" s="855">
        <v>142657</v>
      </c>
      <c r="D131" s="855">
        <v>144530</v>
      </c>
      <c r="E131" s="855">
        <v>146402</v>
      </c>
      <c r="F131" s="855">
        <v>147843</v>
      </c>
      <c r="G131" s="965">
        <v>195081</v>
      </c>
      <c r="H131" s="965">
        <v>195801</v>
      </c>
      <c r="I131" s="965">
        <v>197674</v>
      </c>
      <c r="J131" s="965">
        <v>199546</v>
      </c>
      <c r="K131" s="965">
        <v>200987</v>
      </c>
    </row>
    <row r="132" spans="1:11">
      <c r="A132" s="857" t="s">
        <v>1221</v>
      </c>
      <c r="B132" s="855">
        <v>151012</v>
      </c>
      <c r="C132" s="855">
        <v>152308</v>
      </c>
      <c r="D132" s="855">
        <v>156198</v>
      </c>
      <c r="E132" s="855">
        <v>159799</v>
      </c>
      <c r="F132" s="855">
        <v>162824</v>
      </c>
      <c r="G132" s="965">
        <v>204156</v>
      </c>
      <c r="H132" s="965">
        <v>205452</v>
      </c>
      <c r="I132" s="965">
        <v>209342</v>
      </c>
      <c r="J132" s="965">
        <v>212943</v>
      </c>
      <c r="K132" s="965">
        <v>215968</v>
      </c>
    </row>
    <row r="133" spans="1:11">
      <c r="A133" s="857" t="s">
        <v>1222</v>
      </c>
      <c r="B133" s="855">
        <v>160087</v>
      </c>
      <c r="C133" s="855">
        <v>161960</v>
      </c>
      <c r="D133" s="855">
        <v>167865</v>
      </c>
      <c r="E133" s="855">
        <v>173195</v>
      </c>
      <c r="F133" s="855">
        <v>177805</v>
      </c>
      <c r="G133" s="965">
        <v>213231</v>
      </c>
      <c r="H133" s="965">
        <v>215104</v>
      </c>
      <c r="I133" s="965">
        <v>221009</v>
      </c>
      <c r="J133" s="965">
        <v>226339</v>
      </c>
      <c r="K133" s="965">
        <v>230949</v>
      </c>
    </row>
    <row r="134" spans="1:11">
      <c r="A134" s="857" t="s">
        <v>1223</v>
      </c>
      <c r="B134" s="855">
        <v>132862</v>
      </c>
      <c r="C134" s="855">
        <v>132862</v>
      </c>
      <c r="D134" s="855">
        <v>132862</v>
      </c>
      <c r="E134" s="855">
        <v>132862</v>
      </c>
      <c r="F134" s="855">
        <v>132862</v>
      </c>
      <c r="G134" s="965">
        <v>186006</v>
      </c>
      <c r="H134" s="965">
        <v>186006</v>
      </c>
      <c r="I134" s="965">
        <v>186006</v>
      </c>
      <c r="J134" s="965">
        <v>186006</v>
      </c>
      <c r="K134" s="965">
        <v>186006</v>
      </c>
    </row>
    <row r="135" spans="1:11">
      <c r="A135" s="857" t="s">
        <v>1224</v>
      </c>
      <c r="B135" s="855">
        <v>143377</v>
      </c>
      <c r="C135" s="855">
        <v>144098</v>
      </c>
      <c r="D135" s="855">
        <v>146402</v>
      </c>
      <c r="E135" s="855">
        <v>148563</v>
      </c>
      <c r="F135" s="855">
        <v>150292</v>
      </c>
      <c r="G135" s="965">
        <v>196521</v>
      </c>
      <c r="H135" s="965">
        <v>197242</v>
      </c>
      <c r="I135" s="965">
        <v>199546</v>
      </c>
      <c r="J135" s="965">
        <v>201707</v>
      </c>
      <c r="K135" s="965">
        <v>203436</v>
      </c>
    </row>
    <row r="136" spans="1:11">
      <c r="A136" s="857" t="s">
        <v>1225</v>
      </c>
      <c r="B136" s="855">
        <v>153893</v>
      </c>
      <c r="C136" s="855">
        <v>155477</v>
      </c>
      <c r="D136" s="855">
        <v>159943</v>
      </c>
      <c r="E136" s="855">
        <v>164264</v>
      </c>
      <c r="F136" s="855">
        <v>167721</v>
      </c>
      <c r="G136" s="965">
        <v>207037</v>
      </c>
      <c r="H136" s="965">
        <v>208621</v>
      </c>
      <c r="I136" s="965">
        <v>213087</v>
      </c>
      <c r="J136" s="965">
        <v>217408</v>
      </c>
      <c r="K136" s="965">
        <v>220865</v>
      </c>
    </row>
    <row r="137" spans="1:11">
      <c r="A137" s="857" t="s">
        <v>1226</v>
      </c>
      <c r="B137" s="855">
        <v>164552</v>
      </c>
      <c r="C137" s="855">
        <v>166713</v>
      </c>
      <c r="D137" s="855">
        <v>173483</v>
      </c>
      <c r="E137" s="855">
        <v>179821</v>
      </c>
      <c r="F137" s="855">
        <v>185295</v>
      </c>
      <c r="G137" s="965">
        <v>217696</v>
      </c>
      <c r="H137" s="965">
        <v>219857</v>
      </c>
      <c r="I137" s="965">
        <v>226627</v>
      </c>
      <c r="J137" s="965">
        <v>232965</v>
      </c>
      <c r="K137" s="965">
        <v>238439</v>
      </c>
    </row>
    <row r="138" spans="1:11">
      <c r="A138" s="857" t="s">
        <v>1227</v>
      </c>
      <c r="B138" s="855">
        <v>132862</v>
      </c>
      <c r="C138" s="855">
        <v>132862</v>
      </c>
      <c r="D138" s="855">
        <v>132862</v>
      </c>
      <c r="E138" s="855">
        <v>132862</v>
      </c>
      <c r="F138" s="855">
        <v>132862</v>
      </c>
      <c r="G138" s="965">
        <v>186006</v>
      </c>
      <c r="H138" s="965">
        <v>186006</v>
      </c>
      <c r="I138" s="965">
        <v>186006</v>
      </c>
      <c r="J138" s="965">
        <v>186006</v>
      </c>
      <c r="K138" s="965">
        <v>186006</v>
      </c>
    </row>
    <row r="139" spans="1:11">
      <c r="A139" s="857" t="s">
        <v>1228</v>
      </c>
      <c r="B139" s="855">
        <v>145682</v>
      </c>
      <c r="C139" s="855">
        <v>146546</v>
      </c>
      <c r="D139" s="855">
        <v>149427</v>
      </c>
      <c r="E139" s="855">
        <v>151876</v>
      </c>
      <c r="F139" s="855">
        <v>154181</v>
      </c>
      <c r="G139" s="965">
        <v>198826</v>
      </c>
      <c r="H139" s="965">
        <v>199690</v>
      </c>
      <c r="I139" s="965">
        <v>202571</v>
      </c>
      <c r="J139" s="965">
        <v>205020</v>
      </c>
      <c r="K139" s="965">
        <v>207325</v>
      </c>
    </row>
    <row r="140" spans="1:11">
      <c r="A140" s="857" t="s">
        <v>1229</v>
      </c>
      <c r="B140" s="855">
        <v>158502</v>
      </c>
      <c r="C140" s="855">
        <v>160375</v>
      </c>
      <c r="D140" s="855">
        <v>165849</v>
      </c>
      <c r="E140" s="855">
        <v>171035</v>
      </c>
      <c r="F140" s="855">
        <v>175500</v>
      </c>
      <c r="G140" s="965">
        <v>211646</v>
      </c>
      <c r="H140" s="965">
        <v>213519</v>
      </c>
      <c r="I140" s="965">
        <v>218993</v>
      </c>
      <c r="J140" s="965">
        <v>224179</v>
      </c>
      <c r="K140" s="965">
        <v>228644</v>
      </c>
    </row>
    <row r="141" spans="1:11">
      <c r="A141" s="857" t="s">
        <v>1230</v>
      </c>
      <c r="B141" s="855">
        <v>171467</v>
      </c>
      <c r="C141" s="855">
        <v>174204</v>
      </c>
      <c r="D141" s="855">
        <v>182414</v>
      </c>
      <c r="E141" s="855">
        <v>190193</v>
      </c>
      <c r="F141" s="855">
        <v>196819</v>
      </c>
      <c r="G141" s="965">
        <v>224611</v>
      </c>
      <c r="H141" s="965">
        <v>227348</v>
      </c>
      <c r="I141" s="965">
        <v>235558</v>
      </c>
      <c r="J141" s="965">
        <v>243337</v>
      </c>
      <c r="K141" s="965">
        <v>249963</v>
      </c>
    </row>
    <row r="142" spans="1:11">
      <c r="A142" s="857" t="s">
        <v>1231</v>
      </c>
      <c r="B142" s="855">
        <v>132862</v>
      </c>
      <c r="C142" s="855">
        <v>132862</v>
      </c>
      <c r="D142" s="855">
        <v>132862</v>
      </c>
      <c r="E142" s="855">
        <v>132862</v>
      </c>
      <c r="F142" s="855">
        <v>132862</v>
      </c>
      <c r="G142" s="965">
        <v>186006</v>
      </c>
      <c r="H142" s="965">
        <v>186006</v>
      </c>
      <c r="I142" s="965">
        <v>186006</v>
      </c>
      <c r="J142" s="965">
        <v>186006</v>
      </c>
      <c r="K142" s="965">
        <v>186006</v>
      </c>
    </row>
    <row r="143" spans="1:11">
      <c r="A143" s="857" t="s">
        <v>1232</v>
      </c>
      <c r="B143" s="855">
        <v>141937</v>
      </c>
      <c r="C143" s="855">
        <v>142657</v>
      </c>
      <c r="D143" s="855">
        <v>144530</v>
      </c>
      <c r="E143" s="855">
        <v>146402</v>
      </c>
      <c r="F143" s="855">
        <v>147843</v>
      </c>
      <c r="G143" s="965">
        <v>195081</v>
      </c>
      <c r="H143" s="965">
        <v>195801</v>
      </c>
      <c r="I143" s="965">
        <v>197674</v>
      </c>
      <c r="J143" s="965">
        <v>199546</v>
      </c>
      <c r="K143" s="965">
        <v>200987</v>
      </c>
    </row>
    <row r="144" spans="1:11">
      <c r="A144" s="857" t="s">
        <v>1233</v>
      </c>
      <c r="B144" s="855">
        <v>151012</v>
      </c>
      <c r="C144" s="855">
        <v>152308</v>
      </c>
      <c r="D144" s="855">
        <v>156198</v>
      </c>
      <c r="E144" s="855">
        <v>159799</v>
      </c>
      <c r="F144" s="855">
        <v>162824</v>
      </c>
      <c r="G144" s="965">
        <v>204156</v>
      </c>
      <c r="H144" s="965">
        <v>205452</v>
      </c>
      <c r="I144" s="965">
        <v>209342</v>
      </c>
      <c r="J144" s="965">
        <v>212943</v>
      </c>
      <c r="K144" s="965">
        <v>215968</v>
      </c>
    </row>
    <row r="145" spans="1:11">
      <c r="A145" s="857" t="s">
        <v>1234</v>
      </c>
      <c r="B145" s="855">
        <v>160087</v>
      </c>
      <c r="C145" s="855">
        <v>161960</v>
      </c>
      <c r="D145" s="855">
        <v>167865</v>
      </c>
      <c r="E145" s="855">
        <v>173195</v>
      </c>
      <c r="F145" s="855">
        <v>177805</v>
      </c>
      <c r="G145" s="965">
        <v>213231</v>
      </c>
      <c r="H145" s="965">
        <v>215104</v>
      </c>
      <c r="I145" s="965">
        <v>221009</v>
      </c>
      <c r="J145" s="965">
        <v>226339</v>
      </c>
      <c r="K145" s="965">
        <v>230949</v>
      </c>
    </row>
    <row r="146" spans="1:11">
      <c r="A146" s="857" t="s">
        <v>1235</v>
      </c>
      <c r="B146" s="855">
        <v>132862</v>
      </c>
      <c r="C146" s="855">
        <v>132862</v>
      </c>
      <c r="D146" s="855">
        <v>132862</v>
      </c>
      <c r="E146" s="855">
        <v>132862</v>
      </c>
      <c r="F146" s="855">
        <v>132862</v>
      </c>
      <c r="G146" s="965">
        <v>186006</v>
      </c>
      <c r="H146" s="965">
        <v>186006</v>
      </c>
      <c r="I146" s="965">
        <v>186006</v>
      </c>
      <c r="J146" s="965">
        <v>186006</v>
      </c>
      <c r="K146" s="965">
        <v>186006</v>
      </c>
    </row>
    <row r="147" spans="1:11">
      <c r="A147" s="857" t="s">
        <v>1236</v>
      </c>
      <c r="B147" s="855">
        <v>146258</v>
      </c>
      <c r="C147" s="855">
        <v>147267</v>
      </c>
      <c r="D147" s="855">
        <v>150292</v>
      </c>
      <c r="E147" s="855">
        <v>152885</v>
      </c>
      <c r="F147" s="855">
        <v>155189</v>
      </c>
      <c r="G147" s="965">
        <v>199402</v>
      </c>
      <c r="H147" s="965">
        <v>200411</v>
      </c>
      <c r="I147" s="965">
        <v>203436</v>
      </c>
      <c r="J147" s="965">
        <v>206029</v>
      </c>
      <c r="K147" s="965">
        <v>208333</v>
      </c>
    </row>
    <row r="148" spans="1:11">
      <c r="A148" s="857" t="s">
        <v>1237</v>
      </c>
      <c r="B148" s="855">
        <v>159799</v>
      </c>
      <c r="C148" s="855">
        <v>161671</v>
      </c>
      <c r="D148" s="855">
        <v>167577</v>
      </c>
      <c r="E148" s="855">
        <v>172907</v>
      </c>
      <c r="F148" s="855">
        <v>177517</v>
      </c>
      <c r="G148" s="965">
        <v>212943</v>
      </c>
      <c r="H148" s="965">
        <v>214815</v>
      </c>
      <c r="I148" s="965">
        <v>220721</v>
      </c>
      <c r="J148" s="965">
        <v>226051</v>
      </c>
      <c r="K148" s="965">
        <v>230661</v>
      </c>
    </row>
    <row r="149" spans="1:11">
      <c r="A149" s="857" t="s">
        <v>1238</v>
      </c>
      <c r="B149" s="855">
        <v>173339</v>
      </c>
      <c r="C149" s="855">
        <v>176220</v>
      </c>
      <c r="D149" s="855">
        <v>184863</v>
      </c>
      <c r="E149" s="855">
        <v>192930</v>
      </c>
      <c r="F149" s="855">
        <v>199988</v>
      </c>
      <c r="G149" s="965">
        <v>226483</v>
      </c>
      <c r="H149" s="965">
        <v>229364</v>
      </c>
      <c r="I149" s="965">
        <v>238007</v>
      </c>
      <c r="J149" s="965">
        <v>246074</v>
      </c>
      <c r="K149" s="965">
        <v>253132</v>
      </c>
    </row>
    <row r="150" spans="1:11">
      <c r="A150" s="857" t="s">
        <v>1239</v>
      </c>
      <c r="B150" s="855">
        <v>132862</v>
      </c>
      <c r="C150" s="855">
        <v>132862</v>
      </c>
      <c r="D150" s="855">
        <v>132862</v>
      </c>
      <c r="E150" s="855">
        <v>132862</v>
      </c>
      <c r="F150" s="855">
        <v>132862</v>
      </c>
      <c r="G150" s="965">
        <v>186006</v>
      </c>
      <c r="H150" s="965">
        <v>186006</v>
      </c>
      <c r="I150" s="965">
        <v>186006</v>
      </c>
      <c r="J150" s="965">
        <v>186006</v>
      </c>
      <c r="K150" s="965">
        <v>186006</v>
      </c>
    </row>
    <row r="151" spans="1:11">
      <c r="A151" s="857" t="s">
        <v>1240</v>
      </c>
      <c r="B151" s="855">
        <v>153173</v>
      </c>
      <c r="C151" s="855">
        <v>154757</v>
      </c>
      <c r="D151" s="855">
        <v>159079</v>
      </c>
      <c r="E151" s="855">
        <v>163112</v>
      </c>
      <c r="F151" s="855">
        <v>166569</v>
      </c>
      <c r="G151" s="965">
        <v>206317</v>
      </c>
      <c r="H151" s="965">
        <v>207901</v>
      </c>
      <c r="I151" s="965">
        <v>212223</v>
      </c>
      <c r="J151" s="965">
        <v>216256</v>
      </c>
      <c r="K151" s="965">
        <v>219713</v>
      </c>
    </row>
    <row r="152" spans="1:11">
      <c r="A152" s="857" t="s">
        <v>1241</v>
      </c>
      <c r="B152" s="855">
        <v>173483</v>
      </c>
      <c r="C152" s="855">
        <v>176508</v>
      </c>
      <c r="D152" s="855">
        <v>185151</v>
      </c>
      <c r="E152" s="855">
        <v>193218</v>
      </c>
      <c r="F152" s="855">
        <v>200132</v>
      </c>
      <c r="G152" s="965">
        <v>226627</v>
      </c>
      <c r="H152" s="965">
        <v>229652</v>
      </c>
      <c r="I152" s="965">
        <v>238295</v>
      </c>
      <c r="J152" s="965">
        <v>246362</v>
      </c>
      <c r="K152" s="965">
        <v>253276</v>
      </c>
    </row>
    <row r="153" spans="1:11">
      <c r="A153" s="857" t="s">
        <v>1242</v>
      </c>
      <c r="B153" s="855">
        <v>193794</v>
      </c>
      <c r="C153" s="855">
        <v>198259</v>
      </c>
      <c r="D153" s="855">
        <v>211224</v>
      </c>
      <c r="E153" s="855">
        <v>223468</v>
      </c>
      <c r="F153" s="855">
        <v>233839</v>
      </c>
      <c r="G153" s="965">
        <v>246938</v>
      </c>
      <c r="H153" s="965">
        <v>251403</v>
      </c>
      <c r="I153" s="965">
        <v>264368</v>
      </c>
      <c r="J153" s="965">
        <v>276612</v>
      </c>
      <c r="K153" s="965">
        <v>286983</v>
      </c>
    </row>
    <row r="154" spans="1:11">
      <c r="A154" s="857" t="s">
        <v>1243</v>
      </c>
      <c r="B154" s="855">
        <v>132862</v>
      </c>
      <c r="C154" s="855">
        <v>132862</v>
      </c>
      <c r="D154" s="855">
        <v>132862</v>
      </c>
      <c r="E154" s="855">
        <v>132862</v>
      </c>
      <c r="F154" s="855">
        <v>132862</v>
      </c>
      <c r="G154" s="965">
        <v>186006</v>
      </c>
      <c r="H154" s="965">
        <v>186006</v>
      </c>
      <c r="I154" s="965">
        <v>186006</v>
      </c>
      <c r="J154" s="965">
        <v>186006</v>
      </c>
      <c r="K154" s="965">
        <v>186006</v>
      </c>
    </row>
    <row r="155" spans="1:11">
      <c r="A155" s="857" t="s">
        <v>1244</v>
      </c>
      <c r="B155" s="855">
        <v>141649</v>
      </c>
      <c r="C155" s="855">
        <v>142225</v>
      </c>
      <c r="D155" s="855">
        <v>144242</v>
      </c>
      <c r="E155" s="855">
        <v>145970</v>
      </c>
      <c r="F155" s="855">
        <v>147555</v>
      </c>
      <c r="G155" s="965">
        <v>194793</v>
      </c>
      <c r="H155" s="965">
        <v>195369</v>
      </c>
      <c r="I155" s="965">
        <v>197386</v>
      </c>
      <c r="J155" s="965">
        <v>199114</v>
      </c>
      <c r="K155" s="965">
        <v>200699</v>
      </c>
    </row>
    <row r="156" spans="1:11">
      <c r="A156" s="857" t="s">
        <v>1245</v>
      </c>
      <c r="B156" s="855">
        <v>150436</v>
      </c>
      <c r="C156" s="855">
        <v>151732</v>
      </c>
      <c r="D156" s="855">
        <v>155477</v>
      </c>
      <c r="E156" s="855">
        <v>159079</v>
      </c>
      <c r="F156" s="855">
        <v>162104</v>
      </c>
      <c r="G156" s="965">
        <v>203580</v>
      </c>
      <c r="H156" s="965">
        <v>204876</v>
      </c>
      <c r="I156" s="965">
        <v>208621</v>
      </c>
      <c r="J156" s="965">
        <v>212223</v>
      </c>
      <c r="K156" s="965">
        <v>215248</v>
      </c>
    </row>
    <row r="157" spans="1:11">
      <c r="A157" s="857" t="s">
        <v>1246</v>
      </c>
      <c r="B157" s="855">
        <v>159367</v>
      </c>
      <c r="C157" s="855">
        <v>161239</v>
      </c>
      <c r="D157" s="855">
        <v>166857</v>
      </c>
      <c r="E157" s="855">
        <v>172187</v>
      </c>
      <c r="F157" s="855">
        <v>176796</v>
      </c>
      <c r="G157" s="965">
        <v>212511</v>
      </c>
      <c r="H157" s="965">
        <v>214383</v>
      </c>
      <c r="I157" s="965">
        <v>220001</v>
      </c>
      <c r="J157" s="965">
        <v>225331</v>
      </c>
      <c r="K157" s="965">
        <v>229940</v>
      </c>
    </row>
    <row r="158" spans="1:11">
      <c r="A158" s="857" t="s">
        <v>1247</v>
      </c>
      <c r="B158" s="855">
        <v>132862</v>
      </c>
      <c r="C158" s="855">
        <v>132862</v>
      </c>
      <c r="D158" s="855">
        <v>132862</v>
      </c>
      <c r="E158" s="855">
        <v>132862</v>
      </c>
      <c r="F158" s="855">
        <v>132862</v>
      </c>
      <c r="G158" s="965">
        <v>186006</v>
      </c>
      <c r="H158" s="965">
        <v>186006</v>
      </c>
      <c r="I158" s="965">
        <v>186006</v>
      </c>
      <c r="J158" s="965">
        <v>186006</v>
      </c>
      <c r="K158" s="965">
        <v>186006</v>
      </c>
    </row>
    <row r="159" spans="1:11">
      <c r="A159" s="857" t="s">
        <v>1248</v>
      </c>
      <c r="B159" s="855">
        <v>144242</v>
      </c>
      <c r="C159" s="855">
        <v>145106</v>
      </c>
      <c r="D159" s="855">
        <v>147411</v>
      </c>
      <c r="E159" s="855">
        <v>149716</v>
      </c>
      <c r="F159" s="855">
        <v>151732</v>
      </c>
      <c r="G159" s="965">
        <v>197386</v>
      </c>
      <c r="H159" s="965">
        <v>198250</v>
      </c>
      <c r="I159" s="965">
        <v>200555</v>
      </c>
      <c r="J159" s="965">
        <v>202860</v>
      </c>
      <c r="K159" s="965">
        <v>204876</v>
      </c>
    </row>
    <row r="160" spans="1:11">
      <c r="A160" s="857" t="s">
        <v>1249</v>
      </c>
      <c r="B160" s="855">
        <v>155477</v>
      </c>
      <c r="C160" s="855">
        <v>157206</v>
      </c>
      <c r="D160" s="855">
        <v>161960</v>
      </c>
      <c r="E160" s="855">
        <v>166569</v>
      </c>
      <c r="F160" s="855">
        <v>170458</v>
      </c>
      <c r="G160" s="965">
        <v>208621</v>
      </c>
      <c r="H160" s="965">
        <v>210350</v>
      </c>
      <c r="I160" s="965">
        <v>215104</v>
      </c>
      <c r="J160" s="965">
        <v>219713</v>
      </c>
      <c r="K160" s="965">
        <v>223602</v>
      </c>
    </row>
    <row r="161" spans="1:11">
      <c r="A161" s="857" t="s">
        <v>1250</v>
      </c>
      <c r="B161" s="855">
        <v>166857</v>
      </c>
      <c r="C161" s="855">
        <v>169306</v>
      </c>
      <c r="D161" s="855">
        <v>176652</v>
      </c>
      <c r="E161" s="855">
        <v>183423</v>
      </c>
      <c r="F161" s="855">
        <v>189184</v>
      </c>
      <c r="G161" s="965">
        <v>220001</v>
      </c>
      <c r="H161" s="965">
        <v>222450</v>
      </c>
      <c r="I161" s="965">
        <v>229796</v>
      </c>
      <c r="J161" s="965">
        <v>236567</v>
      </c>
      <c r="K161" s="965">
        <v>242328</v>
      </c>
    </row>
    <row r="162" spans="1:11">
      <c r="A162" s="857" t="s">
        <v>1251</v>
      </c>
      <c r="B162" s="855">
        <v>132862</v>
      </c>
      <c r="C162" s="855">
        <v>132862</v>
      </c>
      <c r="D162" s="855">
        <v>132862</v>
      </c>
      <c r="E162" s="855">
        <v>132862</v>
      </c>
      <c r="F162" s="855">
        <v>132862</v>
      </c>
      <c r="G162" s="965">
        <v>186006</v>
      </c>
      <c r="H162" s="965">
        <v>186006</v>
      </c>
      <c r="I162" s="965">
        <v>186006</v>
      </c>
      <c r="J162" s="965">
        <v>186006</v>
      </c>
      <c r="K162" s="965">
        <v>186006</v>
      </c>
    </row>
    <row r="163" spans="1:11">
      <c r="A163" s="857" t="s">
        <v>1252</v>
      </c>
      <c r="B163" s="855">
        <v>153173</v>
      </c>
      <c r="C163" s="855">
        <v>154757</v>
      </c>
      <c r="D163" s="855">
        <v>159079</v>
      </c>
      <c r="E163" s="855">
        <v>163112</v>
      </c>
      <c r="F163" s="855">
        <v>166569</v>
      </c>
      <c r="G163" s="965">
        <v>206317</v>
      </c>
      <c r="H163" s="965">
        <v>207901</v>
      </c>
      <c r="I163" s="965">
        <v>212223</v>
      </c>
      <c r="J163" s="965">
        <v>216256</v>
      </c>
      <c r="K163" s="965">
        <v>219713</v>
      </c>
    </row>
    <row r="164" spans="1:11">
      <c r="A164" s="857" t="s">
        <v>1253</v>
      </c>
      <c r="B164" s="855">
        <v>173483</v>
      </c>
      <c r="C164" s="855">
        <v>176508</v>
      </c>
      <c r="D164" s="855">
        <v>185151</v>
      </c>
      <c r="E164" s="855">
        <v>193218</v>
      </c>
      <c r="F164" s="855">
        <v>200132</v>
      </c>
      <c r="G164" s="965">
        <v>226627</v>
      </c>
      <c r="H164" s="965">
        <v>229652</v>
      </c>
      <c r="I164" s="965">
        <v>238295</v>
      </c>
      <c r="J164" s="965">
        <v>246362</v>
      </c>
      <c r="K164" s="965">
        <v>253276</v>
      </c>
    </row>
    <row r="165" spans="1:11">
      <c r="A165" s="857" t="s">
        <v>1254</v>
      </c>
      <c r="B165" s="855">
        <v>193794</v>
      </c>
      <c r="C165" s="855">
        <v>198259</v>
      </c>
      <c r="D165" s="855">
        <v>211224</v>
      </c>
      <c r="E165" s="855">
        <v>223468</v>
      </c>
      <c r="F165" s="855">
        <v>233839</v>
      </c>
      <c r="G165" s="965">
        <v>246938</v>
      </c>
      <c r="H165" s="965">
        <v>251403</v>
      </c>
      <c r="I165" s="965">
        <v>264368</v>
      </c>
      <c r="J165" s="965">
        <v>276612</v>
      </c>
      <c r="K165" s="965">
        <v>286983</v>
      </c>
    </row>
    <row r="166" spans="1:11">
      <c r="A166" s="857" t="s">
        <v>1255</v>
      </c>
      <c r="B166" s="855">
        <v>132862</v>
      </c>
      <c r="C166" s="855">
        <v>132862</v>
      </c>
      <c r="D166" s="855">
        <v>132862</v>
      </c>
      <c r="E166" s="855">
        <v>132862</v>
      </c>
      <c r="F166" s="855">
        <v>132862</v>
      </c>
      <c r="G166" s="965">
        <v>186006</v>
      </c>
      <c r="H166" s="965">
        <v>186006</v>
      </c>
      <c r="I166" s="965">
        <v>186006</v>
      </c>
      <c r="J166" s="965">
        <v>186006</v>
      </c>
      <c r="K166" s="965">
        <v>186006</v>
      </c>
    </row>
    <row r="167" spans="1:11">
      <c r="A167" s="857" t="s">
        <v>1256</v>
      </c>
      <c r="B167" s="855">
        <v>146691</v>
      </c>
      <c r="C167" s="855">
        <v>147843</v>
      </c>
      <c r="D167" s="855">
        <v>150724</v>
      </c>
      <c r="E167" s="855">
        <v>153461</v>
      </c>
      <c r="F167" s="855">
        <v>155910</v>
      </c>
      <c r="G167" s="965">
        <v>199835</v>
      </c>
      <c r="H167" s="965">
        <v>200987</v>
      </c>
      <c r="I167" s="965">
        <v>203868</v>
      </c>
      <c r="J167" s="965">
        <v>206605</v>
      </c>
      <c r="K167" s="965">
        <v>209054</v>
      </c>
    </row>
    <row r="168" spans="1:11">
      <c r="A168" s="857" t="s">
        <v>1257</v>
      </c>
      <c r="B168" s="855">
        <v>160663</v>
      </c>
      <c r="C168" s="855">
        <v>162680</v>
      </c>
      <c r="D168" s="855">
        <v>168586</v>
      </c>
      <c r="E168" s="855">
        <v>174204</v>
      </c>
      <c r="F168" s="855">
        <v>178957</v>
      </c>
      <c r="G168" s="965">
        <v>213807</v>
      </c>
      <c r="H168" s="965">
        <v>215824</v>
      </c>
      <c r="I168" s="965">
        <v>221730</v>
      </c>
      <c r="J168" s="965">
        <v>227348</v>
      </c>
      <c r="K168" s="965">
        <v>232101</v>
      </c>
    </row>
    <row r="169" spans="1:11">
      <c r="A169" s="857" t="s">
        <v>1258</v>
      </c>
      <c r="B169" s="855">
        <v>174636</v>
      </c>
      <c r="C169" s="855">
        <v>177661</v>
      </c>
      <c r="D169" s="855">
        <v>186448</v>
      </c>
      <c r="E169" s="855">
        <v>194802</v>
      </c>
      <c r="F169" s="855">
        <v>202005</v>
      </c>
      <c r="G169" s="965">
        <v>227780</v>
      </c>
      <c r="H169" s="965">
        <v>230805</v>
      </c>
      <c r="I169" s="965">
        <v>239592</v>
      </c>
      <c r="J169" s="965">
        <v>247946</v>
      </c>
      <c r="K169" s="965">
        <v>255149</v>
      </c>
    </row>
    <row r="170" spans="1:11">
      <c r="A170" s="857" t="s">
        <v>1259</v>
      </c>
      <c r="B170" s="855">
        <v>132862</v>
      </c>
      <c r="C170" s="855">
        <v>132862</v>
      </c>
      <c r="D170" s="855">
        <v>132862</v>
      </c>
      <c r="E170" s="855">
        <v>132862</v>
      </c>
      <c r="F170" s="855">
        <v>132862</v>
      </c>
      <c r="G170" s="965">
        <v>186006</v>
      </c>
      <c r="H170" s="965">
        <v>186006</v>
      </c>
      <c r="I170" s="965">
        <v>186006</v>
      </c>
      <c r="J170" s="965">
        <v>186006</v>
      </c>
      <c r="K170" s="965">
        <v>186006</v>
      </c>
    </row>
    <row r="171" spans="1:11">
      <c r="A171" s="857" t="s">
        <v>1260</v>
      </c>
      <c r="B171" s="855">
        <v>151300</v>
      </c>
      <c r="C171" s="855">
        <v>152596</v>
      </c>
      <c r="D171" s="855">
        <v>156486</v>
      </c>
      <c r="E171" s="855">
        <v>160231</v>
      </c>
      <c r="F171" s="855">
        <v>163400</v>
      </c>
      <c r="G171" s="965">
        <v>204444</v>
      </c>
      <c r="H171" s="965">
        <v>205740</v>
      </c>
      <c r="I171" s="965">
        <v>209630</v>
      </c>
      <c r="J171" s="965">
        <v>213375</v>
      </c>
      <c r="K171" s="965">
        <v>216544</v>
      </c>
    </row>
    <row r="172" spans="1:11">
      <c r="A172" s="857" t="s">
        <v>1261</v>
      </c>
      <c r="B172" s="855">
        <v>169738</v>
      </c>
      <c r="C172" s="855">
        <v>172331</v>
      </c>
      <c r="D172" s="855">
        <v>180254</v>
      </c>
      <c r="E172" s="855">
        <v>187600</v>
      </c>
      <c r="F172" s="855">
        <v>193938</v>
      </c>
      <c r="G172" s="965">
        <v>222882</v>
      </c>
      <c r="H172" s="965">
        <v>225475</v>
      </c>
      <c r="I172" s="965">
        <v>233398</v>
      </c>
      <c r="J172" s="965">
        <v>240744</v>
      </c>
      <c r="K172" s="965">
        <v>247082</v>
      </c>
    </row>
    <row r="173" spans="1:11">
      <c r="A173" s="857" t="s">
        <v>1262</v>
      </c>
      <c r="B173" s="855">
        <v>188176</v>
      </c>
      <c r="C173" s="855">
        <v>192209</v>
      </c>
      <c r="D173" s="855">
        <v>204021</v>
      </c>
      <c r="E173" s="855">
        <v>215113</v>
      </c>
      <c r="F173" s="855">
        <v>224620</v>
      </c>
      <c r="G173" s="965">
        <v>241320</v>
      </c>
      <c r="H173" s="965">
        <v>245353</v>
      </c>
      <c r="I173" s="965">
        <v>257165</v>
      </c>
      <c r="J173" s="965">
        <v>268257</v>
      </c>
      <c r="K173" s="965">
        <v>277764</v>
      </c>
    </row>
    <row r="174" spans="1:11">
      <c r="A174" s="857" t="s">
        <v>1263</v>
      </c>
      <c r="B174" s="855">
        <v>132862</v>
      </c>
      <c r="C174" s="855">
        <v>132862</v>
      </c>
      <c r="D174" s="855">
        <v>132862</v>
      </c>
      <c r="E174" s="855">
        <v>132862</v>
      </c>
      <c r="F174" s="855">
        <v>132862</v>
      </c>
      <c r="G174" s="965">
        <v>186006</v>
      </c>
      <c r="H174" s="965">
        <v>186006</v>
      </c>
      <c r="I174" s="965">
        <v>186006</v>
      </c>
      <c r="J174" s="965">
        <v>186006</v>
      </c>
      <c r="K174" s="965">
        <v>186006</v>
      </c>
    </row>
    <row r="175" spans="1:11">
      <c r="A175" s="857" t="s">
        <v>1264</v>
      </c>
      <c r="B175" s="855">
        <v>148419</v>
      </c>
      <c r="C175" s="855">
        <v>149427</v>
      </c>
      <c r="D175" s="855">
        <v>152741</v>
      </c>
      <c r="E175" s="855">
        <v>155910</v>
      </c>
      <c r="F175" s="855">
        <v>158502</v>
      </c>
      <c r="G175" s="965">
        <v>201563</v>
      </c>
      <c r="H175" s="965">
        <v>202571</v>
      </c>
      <c r="I175" s="965">
        <v>205885</v>
      </c>
      <c r="J175" s="965">
        <v>209054</v>
      </c>
      <c r="K175" s="965">
        <v>211646</v>
      </c>
    </row>
    <row r="176" spans="1:11">
      <c r="A176" s="857" t="s">
        <v>1265</v>
      </c>
      <c r="B176" s="855">
        <v>163832</v>
      </c>
      <c r="C176" s="855">
        <v>165993</v>
      </c>
      <c r="D176" s="855">
        <v>172619</v>
      </c>
      <c r="E176" s="855">
        <v>178813</v>
      </c>
      <c r="F176" s="855">
        <v>184143</v>
      </c>
      <c r="G176" s="965">
        <v>216976</v>
      </c>
      <c r="H176" s="965">
        <v>219137</v>
      </c>
      <c r="I176" s="965">
        <v>225763</v>
      </c>
      <c r="J176" s="965">
        <v>231957</v>
      </c>
      <c r="K176" s="965">
        <v>237287</v>
      </c>
    </row>
    <row r="177" spans="1:11">
      <c r="A177" s="857" t="s">
        <v>1266</v>
      </c>
      <c r="B177" s="855">
        <v>179245</v>
      </c>
      <c r="C177" s="855">
        <v>182558</v>
      </c>
      <c r="D177" s="855">
        <v>192498</v>
      </c>
      <c r="E177" s="855">
        <v>201861</v>
      </c>
      <c r="F177" s="855">
        <v>209783</v>
      </c>
      <c r="G177" s="965">
        <v>232389</v>
      </c>
      <c r="H177" s="965">
        <v>235702</v>
      </c>
      <c r="I177" s="965">
        <v>245642</v>
      </c>
      <c r="J177" s="965">
        <v>255005</v>
      </c>
      <c r="K177" s="965">
        <v>262927</v>
      </c>
    </row>
    <row r="178" spans="1:11">
      <c r="A178" s="857" t="s">
        <v>1267</v>
      </c>
      <c r="B178" s="855">
        <v>132862</v>
      </c>
      <c r="C178" s="855">
        <v>132862</v>
      </c>
      <c r="D178" s="855">
        <v>132862</v>
      </c>
      <c r="E178" s="855">
        <v>132862</v>
      </c>
      <c r="F178" s="855">
        <v>132862</v>
      </c>
      <c r="G178" s="965">
        <v>186006</v>
      </c>
      <c r="H178" s="965">
        <v>186006</v>
      </c>
      <c r="I178" s="965">
        <v>186006</v>
      </c>
      <c r="J178" s="965">
        <v>186006</v>
      </c>
      <c r="K178" s="965">
        <v>186006</v>
      </c>
    </row>
    <row r="179" spans="1:11">
      <c r="A179" s="857" t="s">
        <v>1268</v>
      </c>
      <c r="B179" s="855">
        <v>141073</v>
      </c>
      <c r="C179" s="855">
        <v>141505</v>
      </c>
      <c r="D179" s="855">
        <v>143377</v>
      </c>
      <c r="E179" s="855">
        <v>144962</v>
      </c>
      <c r="F179" s="855">
        <v>146402</v>
      </c>
      <c r="G179" s="965">
        <v>194217</v>
      </c>
      <c r="H179" s="965">
        <v>194649</v>
      </c>
      <c r="I179" s="965">
        <v>196521</v>
      </c>
      <c r="J179" s="965">
        <v>198106</v>
      </c>
      <c r="K179" s="965">
        <v>199546</v>
      </c>
    </row>
    <row r="180" spans="1:11">
      <c r="A180" s="857" t="s">
        <v>1269</v>
      </c>
      <c r="B180" s="855">
        <v>149139</v>
      </c>
      <c r="C180" s="855">
        <v>150292</v>
      </c>
      <c r="D180" s="855">
        <v>153893</v>
      </c>
      <c r="E180" s="855">
        <v>157062</v>
      </c>
      <c r="F180" s="855">
        <v>159943</v>
      </c>
      <c r="G180" s="965">
        <v>202283</v>
      </c>
      <c r="H180" s="965">
        <v>203436</v>
      </c>
      <c r="I180" s="965">
        <v>207037</v>
      </c>
      <c r="J180" s="965">
        <v>210206</v>
      </c>
      <c r="K180" s="965">
        <v>213087</v>
      </c>
    </row>
    <row r="181" spans="1:11">
      <c r="A181" s="857" t="s">
        <v>1270</v>
      </c>
      <c r="B181" s="855">
        <v>157350</v>
      </c>
      <c r="C181" s="855">
        <v>159079</v>
      </c>
      <c r="D181" s="855">
        <v>164408</v>
      </c>
      <c r="E181" s="855">
        <v>169306</v>
      </c>
      <c r="F181" s="855">
        <v>173483</v>
      </c>
      <c r="G181" s="965">
        <v>210494</v>
      </c>
      <c r="H181" s="965">
        <v>212223</v>
      </c>
      <c r="I181" s="965">
        <v>217552</v>
      </c>
      <c r="J181" s="965">
        <v>222450</v>
      </c>
      <c r="K181" s="965">
        <v>226627</v>
      </c>
    </row>
    <row r="182" spans="1:11">
      <c r="A182" s="857" t="s">
        <v>1271</v>
      </c>
      <c r="B182" s="855">
        <v>132862</v>
      </c>
      <c r="C182" s="855">
        <v>132862</v>
      </c>
      <c r="D182" s="855">
        <v>132862</v>
      </c>
      <c r="E182" s="855">
        <v>132862</v>
      </c>
      <c r="F182" s="855">
        <v>132862</v>
      </c>
      <c r="G182" s="965">
        <v>186006</v>
      </c>
      <c r="H182" s="965">
        <v>186006</v>
      </c>
      <c r="I182" s="965">
        <v>186006</v>
      </c>
      <c r="J182" s="965">
        <v>186006</v>
      </c>
      <c r="K182" s="965">
        <v>186006</v>
      </c>
    </row>
    <row r="183" spans="1:11">
      <c r="A183" s="857" t="s">
        <v>1272</v>
      </c>
      <c r="B183" s="855">
        <v>142369</v>
      </c>
      <c r="C183" s="855">
        <v>143089</v>
      </c>
      <c r="D183" s="855">
        <v>145106</v>
      </c>
      <c r="E183" s="855">
        <v>146979</v>
      </c>
      <c r="F183" s="855">
        <v>148707</v>
      </c>
      <c r="G183" s="965">
        <v>195513</v>
      </c>
      <c r="H183" s="965">
        <v>196233</v>
      </c>
      <c r="I183" s="965">
        <v>198250</v>
      </c>
      <c r="J183" s="965">
        <v>200123</v>
      </c>
      <c r="K183" s="965">
        <v>201851</v>
      </c>
    </row>
    <row r="184" spans="1:11">
      <c r="A184" s="857" t="s">
        <v>1273</v>
      </c>
      <c r="B184" s="855">
        <v>151876</v>
      </c>
      <c r="C184" s="855">
        <v>153173</v>
      </c>
      <c r="D184" s="855">
        <v>157350</v>
      </c>
      <c r="E184" s="855">
        <v>161095</v>
      </c>
      <c r="F184" s="855">
        <v>164408</v>
      </c>
      <c r="G184" s="965">
        <v>205020</v>
      </c>
      <c r="H184" s="965">
        <v>206317</v>
      </c>
      <c r="I184" s="965">
        <v>210494</v>
      </c>
      <c r="J184" s="965">
        <v>214239</v>
      </c>
      <c r="K184" s="965">
        <v>217552</v>
      </c>
    </row>
    <row r="185" spans="1:11">
      <c r="A185" s="857" t="s">
        <v>1274</v>
      </c>
      <c r="B185" s="855">
        <v>161383</v>
      </c>
      <c r="C185" s="855">
        <v>163400</v>
      </c>
      <c r="D185" s="855">
        <v>169594</v>
      </c>
      <c r="E185" s="855">
        <v>175212</v>
      </c>
      <c r="F185" s="855">
        <v>180110</v>
      </c>
      <c r="G185" s="965">
        <v>214527</v>
      </c>
      <c r="H185" s="965">
        <v>216544</v>
      </c>
      <c r="I185" s="965">
        <v>222738</v>
      </c>
      <c r="J185" s="965">
        <v>228356</v>
      </c>
      <c r="K185" s="965">
        <v>233254</v>
      </c>
    </row>
    <row r="186" spans="1:11">
      <c r="A186" s="857" t="s">
        <v>1275</v>
      </c>
      <c r="B186" s="855">
        <v>132862</v>
      </c>
      <c r="C186" s="855">
        <v>132862</v>
      </c>
      <c r="D186" s="855">
        <v>132862</v>
      </c>
      <c r="E186" s="855">
        <v>132862</v>
      </c>
      <c r="F186" s="855">
        <v>132862</v>
      </c>
      <c r="G186" s="965">
        <v>186006</v>
      </c>
      <c r="H186" s="965">
        <v>186006</v>
      </c>
      <c r="I186" s="965">
        <v>186006</v>
      </c>
      <c r="J186" s="965">
        <v>186006</v>
      </c>
      <c r="K186" s="965">
        <v>186006</v>
      </c>
    </row>
    <row r="187" spans="1:11">
      <c r="A187" s="857" t="s">
        <v>1276</v>
      </c>
      <c r="B187" s="855">
        <v>141073</v>
      </c>
      <c r="C187" s="855">
        <v>141505</v>
      </c>
      <c r="D187" s="855">
        <v>143377</v>
      </c>
      <c r="E187" s="855">
        <v>144962</v>
      </c>
      <c r="F187" s="855">
        <v>146402</v>
      </c>
      <c r="G187" s="965">
        <v>194217</v>
      </c>
      <c r="H187" s="965">
        <v>194649</v>
      </c>
      <c r="I187" s="965">
        <v>196521</v>
      </c>
      <c r="J187" s="965">
        <v>198106</v>
      </c>
      <c r="K187" s="965">
        <v>199546</v>
      </c>
    </row>
    <row r="188" spans="1:11">
      <c r="A188" s="857" t="s">
        <v>1277</v>
      </c>
      <c r="B188" s="855">
        <v>149139</v>
      </c>
      <c r="C188" s="855">
        <v>150292</v>
      </c>
      <c r="D188" s="855">
        <v>153893</v>
      </c>
      <c r="E188" s="855">
        <v>157062</v>
      </c>
      <c r="F188" s="855">
        <v>159943</v>
      </c>
      <c r="G188" s="965">
        <v>202283</v>
      </c>
      <c r="H188" s="965">
        <v>203436</v>
      </c>
      <c r="I188" s="965">
        <v>207037</v>
      </c>
      <c r="J188" s="965">
        <v>210206</v>
      </c>
      <c r="K188" s="965">
        <v>213087</v>
      </c>
    </row>
    <row r="189" spans="1:11">
      <c r="A189" s="857" t="s">
        <v>1278</v>
      </c>
      <c r="B189" s="855">
        <v>157350</v>
      </c>
      <c r="C189" s="855">
        <v>159079</v>
      </c>
      <c r="D189" s="855">
        <v>164408</v>
      </c>
      <c r="E189" s="855">
        <v>169306</v>
      </c>
      <c r="F189" s="855">
        <v>173483</v>
      </c>
      <c r="G189" s="965">
        <v>210494</v>
      </c>
      <c r="H189" s="965">
        <v>212223</v>
      </c>
      <c r="I189" s="965">
        <v>217552</v>
      </c>
      <c r="J189" s="965">
        <v>222450</v>
      </c>
      <c r="K189" s="965">
        <v>226627</v>
      </c>
    </row>
    <row r="190" spans="1:11">
      <c r="A190" s="857" t="s">
        <v>1279</v>
      </c>
      <c r="B190" s="855">
        <v>132862</v>
      </c>
      <c r="C190" s="855">
        <v>132862</v>
      </c>
      <c r="D190" s="855">
        <v>132862</v>
      </c>
      <c r="E190" s="855">
        <v>132862</v>
      </c>
      <c r="F190" s="855">
        <v>132862</v>
      </c>
      <c r="G190" s="965">
        <v>186006</v>
      </c>
      <c r="H190" s="965">
        <v>186006</v>
      </c>
      <c r="I190" s="965">
        <v>186006</v>
      </c>
      <c r="J190" s="965">
        <v>186006</v>
      </c>
      <c r="K190" s="965">
        <v>186006</v>
      </c>
    </row>
    <row r="191" spans="1:11">
      <c r="A191" s="857" t="s">
        <v>1280</v>
      </c>
      <c r="B191" s="855">
        <v>143666</v>
      </c>
      <c r="C191" s="855">
        <v>144530</v>
      </c>
      <c r="D191" s="855">
        <v>146835</v>
      </c>
      <c r="E191" s="855">
        <v>148851</v>
      </c>
      <c r="F191" s="855">
        <v>150868</v>
      </c>
      <c r="G191" s="965">
        <v>196810</v>
      </c>
      <c r="H191" s="965">
        <v>197674</v>
      </c>
      <c r="I191" s="965">
        <v>199979</v>
      </c>
      <c r="J191" s="965">
        <v>201995</v>
      </c>
      <c r="K191" s="965">
        <v>204012</v>
      </c>
    </row>
    <row r="192" spans="1:11">
      <c r="A192" s="857" t="s">
        <v>1281</v>
      </c>
      <c r="B192" s="855">
        <v>154469</v>
      </c>
      <c r="C192" s="855">
        <v>156054</v>
      </c>
      <c r="D192" s="855">
        <v>160663</v>
      </c>
      <c r="E192" s="855">
        <v>164985</v>
      </c>
      <c r="F192" s="855">
        <v>168730</v>
      </c>
      <c r="G192" s="965">
        <v>207613</v>
      </c>
      <c r="H192" s="965">
        <v>209198</v>
      </c>
      <c r="I192" s="965">
        <v>213807</v>
      </c>
      <c r="J192" s="965">
        <v>218129</v>
      </c>
      <c r="K192" s="965">
        <v>221874</v>
      </c>
    </row>
    <row r="193" spans="1:11">
      <c r="A193" s="857" t="s">
        <v>1282</v>
      </c>
      <c r="B193" s="855">
        <v>165273</v>
      </c>
      <c r="C193" s="855">
        <v>167577</v>
      </c>
      <c r="D193" s="855">
        <v>174636</v>
      </c>
      <c r="E193" s="855">
        <v>180974</v>
      </c>
      <c r="F193" s="855">
        <v>186592</v>
      </c>
      <c r="G193" s="965">
        <v>218417</v>
      </c>
      <c r="H193" s="965">
        <v>220721</v>
      </c>
      <c r="I193" s="965">
        <v>227780</v>
      </c>
      <c r="J193" s="965">
        <v>234118</v>
      </c>
      <c r="K193" s="965">
        <v>239736</v>
      </c>
    </row>
    <row r="194" spans="1:11">
      <c r="A194" s="857" t="s">
        <v>1283</v>
      </c>
      <c r="B194" s="855">
        <v>132862</v>
      </c>
      <c r="C194" s="855">
        <v>132862</v>
      </c>
      <c r="D194" s="855">
        <v>132862</v>
      </c>
      <c r="E194" s="855">
        <v>132862</v>
      </c>
      <c r="F194" s="855">
        <v>132862</v>
      </c>
      <c r="G194" s="965">
        <v>186006</v>
      </c>
      <c r="H194" s="965">
        <v>186006</v>
      </c>
      <c r="I194" s="965">
        <v>186006</v>
      </c>
      <c r="J194" s="965">
        <v>186006</v>
      </c>
      <c r="K194" s="965">
        <v>186006</v>
      </c>
    </row>
    <row r="195" spans="1:11">
      <c r="A195" s="857" t="s">
        <v>1284</v>
      </c>
      <c r="B195" s="855">
        <v>146546</v>
      </c>
      <c r="C195" s="855">
        <v>147411</v>
      </c>
      <c r="D195" s="855">
        <v>150436</v>
      </c>
      <c r="E195" s="855">
        <v>153029</v>
      </c>
      <c r="F195" s="855">
        <v>155333</v>
      </c>
      <c r="G195" s="965">
        <v>199690</v>
      </c>
      <c r="H195" s="965">
        <v>200555</v>
      </c>
      <c r="I195" s="965">
        <v>203580</v>
      </c>
      <c r="J195" s="965">
        <v>206173</v>
      </c>
      <c r="K195" s="965">
        <v>208477</v>
      </c>
    </row>
    <row r="196" spans="1:11">
      <c r="A196" s="857" t="s">
        <v>1285</v>
      </c>
      <c r="B196" s="855">
        <v>160087</v>
      </c>
      <c r="C196" s="855">
        <v>161960</v>
      </c>
      <c r="D196" s="855">
        <v>167865</v>
      </c>
      <c r="E196" s="855">
        <v>173339</v>
      </c>
      <c r="F196" s="855">
        <v>177949</v>
      </c>
      <c r="G196" s="965">
        <v>213231</v>
      </c>
      <c r="H196" s="965">
        <v>215104</v>
      </c>
      <c r="I196" s="965">
        <v>221009</v>
      </c>
      <c r="J196" s="965">
        <v>226483</v>
      </c>
      <c r="K196" s="965">
        <v>231093</v>
      </c>
    </row>
    <row r="197" spans="1:11">
      <c r="A197" s="857" t="s">
        <v>1286</v>
      </c>
      <c r="B197" s="855">
        <v>173771</v>
      </c>
      <c r="C197" s="855">
        <v>176652</v>
      </c>
      <c r="D197" s="855">
        <v>185439</v>
      </c>
      <c r="E197" s="855">
        <v>193506</v>
      </c>
      <c r="F197" s="855">
        <v>200564</v>
      </c>
      <c r="G197" s="965">
        <v>226915</v>
      </c>
      <c r="H197" s="965">
        <v>229796</v>
      </c>
      <c r="I197" s="965">
        <v>238583</v>
      </c>
      <c r="J197" s="965">
        <v>246650</v>
      </c>
      <c r="K197" s="965">
        <v>253708</v>
      </c>
    </row>
    <row r="198" spans="1:11">
      <c r="A198" s="857" t="s">
        <v>1287</v>
      </c>
      <c r="B198" s="855">
        <v>132862</v>
      </c>
      <c r="C198" s="855">
        <v>132862</v>
      </c>
      <c r="D198" s="855">
        <v>132862</v>
      </c>
      <c r="E198" s="855">
        <v>132862</v>
      </c>
      <c r="F198" s="855">
        <v>132862</v>
      </c>
      <c r="G198" s="965">
        <v>186006</v>
      </c>
      <c r="H198" s="965">
        <v>186006</v>
      </c>
      <c r="I198" s="965">
        <v>186006</v>
      </c>
      <c r="J198" s="965">
        <v>186006</v>
      </c>
      <c r="K198" s="965">
        <v>186006</v>
      </c>
    </row>
    <row r="199" spans="1:11">
      <c r="A199" s="857" t="s">
        <v>1288</v>
      </c>
      <c r="B199" s="855">
        <v>141073</v>
      </c>
      <c r="C199" s="855">
        <v>141505</v>
      </c>
      <c r="D199" s="855">
        <v>143377</v>
      </c>
      <c r="E199" s="855">
        <v>144962</v>
      </c>
      <c r="F199" s="855">
        <v>146402</v>
      </c>
      <c r="G199" s="965">
        <v>194217</v>
      </c>
      <c r="H199" s="965">
        <v>194649</v>
      </c>
      <c r="I199" s="965">
        <v>196521</v>
      </c>
      <c r="J199" s="965">
        <v>198106</v>
      </c>
      <c r="K199" s="965">
        <v>199546</v>
      </c>
    </row>
    <row r="200" spans="1:11">
      <c r="A200" s="857" t="s">
        <v>1289</v>
      </c>
      <c r="B200" s="855">
        <v>149139</v>
      </c>
      <c r="C200" s="855">
        <v>150292</v>
      </c>
      <c r="D200" s="855">
        <v>153893</v>
      </c>
      <c r="E200" s="855">
        <v>157062</v>
      </c>
      <c r="F200" s="855">
        <v>159943</v>
      </c>
      <c r="G200" s="965">
        <v>202283</v>
      </c>
      <c r="H200" s="965">
        <v>203436</v>
      </c>
      <c r="I200" s="965">
        <v>207037</v>
      </c>
      <c r="J200" s="965">
        <v>210206</v>
      </c>
      <c r="K200" s="965">
        <v>213087</v>
      </c>
    </row>
    <row r="201" spans="1:11">
      <c r="A201" s="857" t="s">
        <v>1290</v>
      </c>
      <c r="B201" s="855">
        <v>157350</v>
      </c>
      <c r="C201" s="855">
        <v>159079</v>
      </c>
      <c r="D201" s="855">
        <v>164408</v>
      </c>
      <c r="E201" s="855">
        <v>169306</v>
      </c>
      <c r="F201" s="855">
        <v>173483</v>
      </c>
      <c r="G201" s="965">
        <v>210494</v>
      </c>
      <c r="H201" s="965">
        <v>212223</v>
      </c>
      <c r="I201" s="965">
        <v>217552</v>
      </c>
      <c r="J201" s="965">
        <v>222450</v>
      </c>
      <c r="K201" s="965">
        <v>226627</v>
      </c>
    </row>
    <row r="202" spans="1:11">
      <c r="A202" s="857" t="s">
        <v>1291</v>
      </c>
      <c r="B202" s="855">
        <v>132862</v>
      </c>
      <c r="C202" s="855">
        <v>132862</v>
      </c>
      <c r="D202" s="855">
        <v>132862</v>
      </c>
      <c r="E202" s="855">
        <v>132862</v>
      </c>
      <c r="F202" s="855">
        <v>132862</v>
      </c>
      <c r="G202" s="965">
        <v>186006</v>
      </c>
      <c r="H202" s="965">
        <v>186006</v>
      </c>
      <c r="I202" s="965">
        <v>186006</v>
      </c>
      <c r="J202" s="965">
        <v>186006</v>
      </c>
      <c r="K202" s="965">
        <v>186006</v>
      </c>
    </row>
    <row r="203" spans="1:11">
      <c r="A203" s="857" t="s">
        <v>1292</v>
      </c>
      <c r="B203" s="855">
        <v>141073</v>
      </c>
      <c r="C203" s="855">
        <v>141505</v>
      </c>
      <c r="D203" s="855">
        <v>143377</v>
      </c>
      <c r="E203" s="855">
        <v>144962</v>
      </c>
      <c r="F203" s="855">
        <v>146402</v>
      </c>
      <c r="G203" s="965">
        <v>194217</v>
      </c>
      <c r="H203" s="965">
        <v>194649</v>
      </c>
      <c r="I203" s="965">
        <v>196521</v>
      </c>
      <c r="J203" s="965">
        <v>198106</v>
      </c>
      <c r="K203" s="965">
        <v>199546</v>
      </c>
    </row>
    <row r="204" spans="1:11">
      <c r="A204" s="857" t="s">
        <v>1293</v>
      </c>
      <c r="B204" s="855">
        <v>149139</v>
      </c>
      <c r="C204" s="855">
        <v>150292</v>
      </c>
      <c r="D204" s="855">
        <v>153893</v>
      </c>
      <c r="E204" s="855">
        <v>157062</v>
      </c>
      <c r="F204" s="855">
        <v>159943</v>
      </c>
      <c r="G204" s="965">
        <v>202283</v>
      </c>
      <c r="H204" s="965">
        <v>203436</v>
      </c>
      <c r="I204" s="965">
        <v>207037</v>
      </c>
      <c r="J204" s="965">
        <v>210206</v>
      </c>
      <c r="K204" s="965">
        <v>213087</v>
      </c>
    </row>
    <row r="205" spans="1:11">
      <c r="A205" s="857" t="s">
        <v>1294</v>
      </c>
      <c r="B205" s="855">
        <v>157350</v>
      </c>
      <c r="C205" s="855">
        <v>159079</v>
      </c>
      <c r="D205" s="855">
        <v>164408</v>
      </c>
      <c r="E205" s="855">
        <v>169306</v>
      </c>
      <c r="F205" s="855">
        <v>173483</v>
      </c>
      <c r="G205" s="965">
        <v>210494</v>
      </c>
      <c r="H205" s="965">
        <v>212223</v>
      </c>
      <c r="I205" s="965">
        <v>217552</v>
      </c>
      <c r="J205" s="965">
        <v>222450</v>
      </c>
      <c r="K205" s="965">
        <v>226627</v>
      </c>
    </row>
    <row r="206" spans="1:11">
      <c r="A206" s="857" t="s">
        <v>1295</v>
      </c>
      <c r="B206" s="855">
        <v>132862</v>
      </c>
      <c r="C206" s="855">
        <v>132862</v>
      </c>
      <c r="D206" s="855">
        <v>132862</v>
      </c>
      <c r="E206" s="855">
        <v>132862</v>
      </c>
      <c r="F206" s="855">
        <v>132862</v>
      </c>
      <c r="G206" s="965">
        <v>186006</v>
      </c>
      <c r="H206" s="965">
        <v>186006</v>
      </c>
      <c r="I206" s="965">
        <v>186006</v>
      </c>
      <c r="J206" s="965">
        <v>186006</v>
      </c>
      <c r="K206" s="965">
        <v>186006</v>
      </c>
    </row>
    <row r="207" spans="1:11">
      <c r="A207" s="857" t="s">
        <v>1296</v>
      </c>
      <c r="B207" s="855">
        <v>141073</v>
      </c>
      <c r="C207" s="855">
        <v>141505</v>
      </c>
      <c r="D207" s="855">
        <v>143377</v>
      </c>
      <c r="E207" s="855">
        <v>144962</v>
      </c>
      <c r="F207" s="855">
        <v>146402</v>
      </c>
      <c r="G207" s="965">
        <v>194217</v>
      </c>
      <c r="H207" s="965">
        <v>194649</v>
      </c>
      <c r="I207" s="965">
        <v>196521</v>
      </c>
      <c r="J207" s="965">
        <v>198106</v>
      </c>
      <c r="K207" s="965">
        <v>199546</v>
      </c>
    </row>
    <row r="208" spans="1:11">
      <c r="A208" s="857" t="s">
        <v>1297</v>
      </c>
      <c r="B208" s="855">
        <v>149139</v>
      </c>
      <c r="C208" s="855">
        <v>150292</v>
      </c>
      <c r="D208" s="855">
        <v>153893</v>
      </c>
      <c r="E208" s="855">
        <v>157062</v>
      </c>
      <c r="F208" s="855">
        <v>159943</v>
      </c>
      <c r="G208" s="965">
        <v>202283</v>
      </c>
      <c r="H208" s="965">
        <v>203436</v>
      </c>
      <c r="I208" s="965">
        <v>207037</v>
      </c>
      <c r="J208" s="965">
        <v>210206</v>
      </c>
      <c r="K208" s="965">
        <v>213087</v>
      </c>
    </row>
    <row r="209" spans="1:11">
      <c r="A209" s="857" t="s">
        <v>1298</v>
      </c>
      <c r="B209" s="855">
        <v>157350</v>
      </c>
      <c r="C209" s="855">
        <v>159079</v>
      </c>
      <c r="D209" s="855">
        <v>164408</v>
      </c>
      <c r="E209" s="855">
        <v>169306</v>
      </c>
      <c r="F209" s="855">
        <v>173483</v>
      </c>
      <c r="G209" s="965">
        <v>210494</v>
      </c>
      <c r="H209" s="965">
        <v>212223</v>
      </c>
      <c r="I209" s="965">
        <v>217552</v>
      </c>
      <c r="J209" s="965">
        <v>222450</v>
      </c>
      <c r="K209" s="965">
        <v>226627</v>
      </c>
    </row>
    <row r="210" spans="1:11">
      <c r="A210" s="857" t="s">
        <v>1299</v>
      </c>
      <c r="B210" s="855">
        <v>132862</v>
      </c>
      <c r="C210" s="855">
        <v>132862</v>
      </c>
      <c r="D210" s="855">
        <v>132862</v>
      </c>
      <c r="E210" s="855">
        <v>132862</v>
      </c>
      <c r="F210" s="855">
        <v>132862</v>
      </c>
      <c r="G210" s="965">
        <v>186006</v>
      </c>
      <c r="H210" s="965">
        <v>186006</v>
      </c>
      <c r="I210" s="965">
        <v>186006</v>
      </c>
      <c r="J210" s="965">
        <v>186006</v>
      </c>
      <c r="K210" s="965">
        <v>186006</v>
      </c>
    </row>
    <row r="211" spans="1:11">
      <c r="A211" s="857" t="s">
        <v>1300</v>
      </c>
      <c r="B211" s="855">
        <v>141073</v>
      </c>
      <c r="C211" s="855">
        <v>141505</v>
      </c>
      <c r="D211" s="855">
        <v>143377</v>
      </c>
      <c r="E211" s="855">
        <v>144962</v>
      </c>
      <c r="F211" s="855">
        <v>146402</v>
      </c>
      <c r="G211" s="965">
        <v>194217</v>
      </c>
      <c r="H211" s="965">
        <v>194649</v>
      </c>
      <c r="I211" s="965">
        <v>196521</v>
      </c>
      <c r="J211" s="965">
        <v>198106</v>
      </c>
      <c r="K211" s="965">
        <v>199546</v>
      </c>
    </row>
    <row r="212" spans="1:11">
      <c r="A212" s="857" t="s">
        <v>1301</v>
      </c>
      <c r="B212" s="855">
        <v>149139</v>
      </c>
      <c r="C212" s="855">
        <v>150292</v>
      </c>
      <c r="D212" s="855">
        <v>153893</v>
      </c>
      <c r="E212" s="855">
        <v>157062</v>
      </c>
      <c r="F212" s="855">
        <v>159943</v>
      </c>
      <c r="G212" s="965">
        <v>202283</v>
      </c>
      <c r="H212" s="965">
        <v>203436</v>
      </c>
      <c r="I212" s="965">
        <v>207037</v>
      </c>
      <c r="J212" s="965">
        <v>210206</v>
      </c>
      <c r="K212" s="965">
        <v>213087</v>
      </c>
    </row>
    <row r="213" spans="1:11">
      <c r="A213" s="857" t="s">
        <v>1302</v>
      </c>
      <c r="B213" s="855">
        <v>157350</v>
      </c>
      <c r="C213" s="855">
        <v>159079</v>
      </c>
      <c r="D213" s="855">
        <v>164408</v>
      </c>
      <c r="E213" s="855">
        <v>169306</v>
      </c>
      <c r="F213" s="855">
        <v>173483</v>
      </c>
      <c r="G213" s="965">
        <v>210494</v>
      </c>
      <c r="H213" s="965">
        <v>212223</v>
      </c>
      <c r="I213" s="965">
        <v>217552</v>
      </c>
      <c r="J213" s="965">
        <v>222450</v>
      </c>
      <c r="K213" s="965">
        <v>226627</v>
      </c>
    </row>
    <row r="214" spans="1:11">
      <c r="A214" s="857" t="s">
        <v>1303</v>
      </c>
      <c r="B214" s="855">
        <v>132862</v>
      </c>
      <c r="C214" s="855">
        <v>132862</v>
      </c>
      <c r="D214" s="855">
        <v>132862</v>
      </c>
      <c r="E214" s="855">
        <v>132862</v>
      </c>
      <c r="F214" s="855">
        <v>132862</v>
      </c>
      <c r="G214" s="965">
        <v>186006</v>
      </c>
      <c r="H214" s="965">
        <v>186006</v>
      </c>
      <c r="I214" s="965">
        <v>186006</v>
      </c>
      <c r="J214" s="965">
        <v>186006</v>
      </c>
      <c r="K214" s="965">
        <v>186006</v>
      </c>
    </row>
    <row r="215" spans="1:11">
      <c r="A215" s="857" t="s">
        <v>1304</v>
      </c>
      <c r="B215" s="855">
        <v>141073</v>
      </c>
      <c r="C215" s="855">
        <v>141505</v>
      </c>
      <c r="D215" s="855">
        <v>143377</v>
      </c>
      <c r="E215" s="855">
        <v>144962</v>
      </c>
      <c r="F215" s="855">
        <v>146402</v>
      </c>
      <c r="G215" s="965">
        <v>194217</v>
      </c>
      <c r="H215" s="965">
        <v>194649</v>
      </c>
      <c r="I215" s="965">
        <v>196521</v>
      </c>
      <c r="J215" s="965">
        <v>198106</v>
      </c>
      <c r="K215" s="965">
        <v>199546</v>
      </c>
    </row>
    <row r="216" spans="1:11">
      <c r="A216" s="857" t="s">
        <v>1305</v>
      </c>
      <c r="B216" s="855">
        <v>149139</v>
      </c>
      <c r="C216" s="855">
        <v>150292</v>
      </c>
      <c r="D216" s="855">
        <v>153893</v>
      </c>
      <c r="E216" s="855">
        <v>157062</v>
      </c>
      <c r="F216" s="855">
        <v>159943</v>
      </c>
      <c r="G216" s="965">
        <v>202283</v>
      </c>
      <c r="H216" s="965">
        <v>203436</v>
      </c>
      <c r="I216" s="965">
        <v>207037</v>
      </c>
      <c r="J216" s="965">
        <v>210206</v>
      </c>
      <c r="K216" s="965">
        <v>213087</v>
      </c>
    </row>
    <row r="217" spans="1:11">
      <c r="A217" s="857" t="s">
        <v>1306</v>
      </c>
      <c r="B217" s="855">
        <v>157350</v>
      </c>
      <c r="C217" s="855">
        <v>159079</v>
      </c>
      <c r="D217" s="855">
        <v>164408</v>
      </c>
      <c r="E217" s="855">
        <v>169306</v>
      </c>
      <c r="F217" s="855">
        <v>173483</v>
      </c>
      <c r="G217" s="965">
        <v>210494</v>
      </c>
      <c r="H217" s="965">
        <v>212223</v>
      </c>
      <c r="I217" s="965">
        <v>217552</v>
      </c>
      <c r="J217" s="965">
        <v>222450</v>
      </c>
      <c r="K217" s="965">
        <v>226627</v>
      </c>
    </row>
    <row r="218" spans="1:11">
      <c r="A218" s="857" t="s">
        <v>1307</v>
      </c>
      <c r="B218" s="855">
        <v>132862</v>
      </c>
      <c r="C218" s="855">
        <v>132862</v>
      </c>
      <c r="D218" s="855">
        <v>132862</v>
      </c>
      <c r="E218" s="855">
        <v>132862</v>
      </c>
      <c r="F218" s="855">
        <v>132862</v>
      </c>
      <c r="G218" s="965">
        <v>186006</v>
      </c>
      <c r="H218" s="965">
        <v>186006</v>
      </c>
      <c r="I218" s="965">
        <v>186006</v>
      </c>
      <c r="J218" s="965">
        <v>186006</v>
      </c>
      <c r="K218" s="965">
        <v>186006</v>
      </c>
    </row>
    <row r="219" spans="1:11">
      <c r="A219" s="857" t="s">
        <v>1308</v>
      </c>
      <c r="B219" s="855">
        <v>141217</v>
      </c>
      <c r="C219" s="855">
        <v>141649</v>
      </c>
      <c r="D219" s="855">
        <v>143522</v>
      </c>
      <c r="E219" s="855">
        <v>145106</v>
      </c>
      <c r="F219" s="855">
        <v>146691</v>
      </c>
      <c r="G219" s="965">
        <v>194361</v>
      </c>
      <c r="H219" s="965">
        <v>194793</v>
      </c>
      <c r="I219" s="965">
        <v>196666</v>
      </c>
      <c r="J219" s="965">
        <v>198250</v>
      </c>
      <c r="K219" s="965">
        <v>199835</v>
      </c>
    </row>
    <row r="220" spans="1:11">
      <c r="A220" s="857" t="s">
        <v>1309</v>
      </c>
      <c r="B220" s="855">
        <v>149427</v>
      </c>
      <c r="C220" s="855">
        <v>150580</v>
      </c>
      <c r="D220" s="855">
        <v>154181</v>
      </c>
      <c r="E220" s="855">
        <v>157494</v>
      </c>
      <c r="F220" s="855">
        <v>160375</v>
      </c>
      <c r="G220" s="965">
        <v>202571</v>
      </c>
      <c r="H220" s="965">
        <v>203724</v>
      </c>
      <c r="I220" s="965">
        <v>207325</v>
      </c>
      <c r="J220" s="965">
        <v>210638</v>
      </c>
      <c r="K220" s="965">
        <v>213519</v>
      </c>
    </row>
    <row r="221" spans="1:11">
      <c r="A221" s="857" t="s">
        <v>1310</v>
      </c>
      <c r="B221" s="855">
        <v>157782</v>
      </c>
      <c r="C221" s="855">
        <v>159511</v>
      </c>
      <c r="D221" s="855">
        <v>164841</v>
      </c>
      <c r="E221" s="855">
        <v>169738</v>
      </c>
      <c r="F221" s="855">
        <v>174060</v>
      </c>
      <c r="G221" s="965">
        <v>210926</v>
      </c>
      <c r="H221" s="965">
        <v>212655</v>
      </c>
      <c r="I221" s="965">
        <v>217985</v>
      </c>
      <c r="J221" s="965">
        <v>222882</v>
      </c>
      <c r="K221" s="965">
        <v>227204</v>
      </c>
    </row>
    <row r="222" spans="1:11">
      <c r="A222" s="857" t="s">
        <v>1311</v>
      </c>
      <c r="B222" s="855">
        <v>132862</v>
      </c>
      <c r="C222" s="855">
        <v>132862</v>
      </c>
      <c r="D222" s="855">
        <v>132862</v>
      </c>
      <c r="E222" s="855">
        <v>132862</v>
      </c>
      <c r="F222" s="855">
        <v>132862</v>
      </c>
      <c r="G222" s="965">
        <v>186006</v>
      </c>
      <c r="H222" s="965">
        <v>186006</v>
      </c>
      <c r="I222" s="965">
        <v>186006</v>
      </c>
      <c r="J222" s="965">
        <v>186006</v>
      </c>
      <c r="K222" s="965">
        <v>186006</v>
      </c>
    </row>
    <row r="223" spans="1:11">
      <c r="A223" s="857" t="s">
        <v>1312</v>
      </c>
      <c r="B223" s="855">
        <v>145970</v>
      </c>
      <c r="C223" s="855">
        <v>146979</v>
      </c>
      <c r="D223" s="855">
        <v>149860</v>
      </c>
      <c r="E223" s="855">
        <v>152452</v>
      </c>
      <c r="F223" s="855">
        <v>154757</v>
      </c>
      <c r="G223" s="965">
        <v>199114</v>
      </c>
      <c r="H223" s="965">
        <v>200123</v>
      </c>
      <c r="I223" s="965">
        <v>203004</v>
      </c>
      <c r="J223" s="965">
        <v>205596</v>
      </c>
      <c r="K223" s="965">
        <v>207901</v>
      </c>
    </row>
    <row r="224" spans="1:11">
      <c r="A224" s="857" t="s">
        <v>1313</v>
      </c>
      <c r="B224" s="855">
        <v>159223</v>
      </c>
      <c r="C224" s="855">
        <v>161095</v>
      </c>
      <c r="D224" s="855">
        <v>166713</v>
      </c>
      <c r="E224" s="855">
        <v>172043</v>
      </c>
      <c r="F224" s="855">
        <v>176508</v>
      </c>
      <c r="G224" s="965">
        <v>212367</v>
      </c>
      <c r="H224" s="965">
        <v>214239</v>
      </c>
      <c r="I224" s="965">
        <v>219857</v>
      </c>
      <c r="J224" s="965">
        <v>225187</v>
      </c>
      <c r="K224" s="965">
        <v>229652</v>
      </c>
    </row>
    <row r="225" spans="1:11">
      <c r="A225" s="857" t="s">
        <v>1314</v>
      </c>
      <c r="B225" s="855">
        <v>172475</v>
      </c>
      <c r="C225" s="855">
        <v>175212</v>
      </c>
      <c r="D225" s="855">
        <v>183711</v>
      </c>
      <c r="E225" s="855">
        <v>191633</v>
      </c>
      <c r="F225" s="855">
        <v>198404</v>
      </c>
      <c r="G225" s="965">
        <v>225619</v>
      </c>
      <c r="H225" s="965">
        <v>228356</v>
      </c>
      <c r="I225" s="965">
        <v>236855</v>
      </c>
      <c r="J225" s="965">
        <v>244777</v>
      </c>
      <c r="K225" s="965">
        <v>251548</v>
      </c>
    </row>
    <row r="226" spans="1:11">
      <c r="A226" s="857" t="s">
        <v>1315</v>
      </c>
      <c r="B226" s="855">
        <v>132862</v>
      </c>
      <c r="C226" s="855">
        <v>132862</v>
      </c>
      <c r="D226" s="855">
        <v>132862</v>
      </c>
      <c r="E226" s="855">
        <v>132862</v>
      </c>
      <c r="F226" s="855">
        <v>132862</v>
      </c>
      <c r="G226" s="965">
        <v>186006</v>
      </c>
      <c r="H226" s="965">
        <v>186006</v>
      </c>
      <c r="I226" s="965">
        <v>186006</v>
      </c>
      <c r="J226" s="965">
        <v>186006</v>
      </c>
      <c r="K226" s="965">
        <v>186006</v>
      </c>
    </row>
    <row r="227" spans="1:11">
      <c r="A227" s="857" t="s">
        <v>1316</v>
      </c>
      <c r="B227" s="855">
        <v>143954</v>
      </c>
      <c r="C227" s="855">
        <v>144818</v>
      </c>
      <c r="D227" s="855">
        <v>147123</v>
      </c>
      <c r="E227" s="855">
        <v>149283</v>
      </c>
      <c r="F227" s="855">
        <v>151300</v>
      </c>
      <c r="G227" s="965">
        <v>197098</v>
      </c>
      <c r="H227" s="965">
        <v>197962</v>
      </c>
      <c r="I227" s="965">
        <v>200267</v>
      </c>
      <c r="J227" s="965">
        <v>202427</v>
      </c>
      <c r="K227" s="965">
        <v>204444</v>
      </c>
    </row>
    <row r="228" spans="1:11">
      <c r="A228" s="857" t="s">
        <v>1317</v>
      </c>
      <c r="B228" s="855">
        <v>155045</v>
      </c>
      <c r="C228" s="855">
        <v>156630</v>
      </c>
      <c r="D228" s="855">
        <v>161383</v>
      </c>
      <c r="E228" s="855">
        <v>165705</v>
      </c>
      <c r="F228" s="855">
        <v>169594</v>
      </c>
      <c r="G228" s="965">
        <v>208189</v>
      </c>
      <c r="H228" s="965">
        <v>209774</v>
      </c>
      <c r="I228" s="965">
        <v>214527</v>
      </c>
      <c r="J228" s="965">
        <v>218849</v>
      </c>
      <c r="K228" s="965">
        <v>222738</v>
      </c>
    </row>
    <row r="229" spans="1:11">
      <c r="A229" s="857" t="s">
        <v>1318</v>
      </c>
      <c r="B229" s="855">
        <v>166137</v>
      </c>
      <c r="C229" s="855">
        <v>168586</v>
      </c>
      <c r="D229" s="855">
        <v>175644</v>
      </c>
      <c r="E229" s="855">
        <v>182270</v>
      </c>
      <c r="F229" s="855">
        <v>188032</v>
      </c>
      <c r="G229" s="965">
        <v>219281</v>
      </c>
      <c r="H229" s="965">
        <v>221730</v>
      </c>
      <c r="I229" s="965">
        <v>228788</v>
      </c>
      <c r="J229" s="965">
        <v>235414</v>
      </c>
      <c r="K229" s="965">
        <v>241176</v>
      </c>
    </row>
    <row r="230" spans="1:11">
      <c r="A230" s="857" t="s">
        <v>1319</v>
      </c>
      <c r="B230" s="855">
        <v>132862</v>
      </c>
      <c r="C230" s="855">
        <v>132862</v>
      </c>
      <c r="D230" s="855">
        <v>132862</v>
      </c>
      <c r="E230" s="855">
        <v>132862</v>
      </c>
      <c r="F230" s="855">
        <v>132862</v>
      </c>
      <c r="G230" s="965">
        <v>186006</v>
      </c>
      <c r="H230" s="965">
        <v>186006</v>
      </c>
      <c r="I230" s="965">
        <v>186006</v>
      </c>
      <c r="J230" s="965">
        <v>186006</v>
      </c>
      <c r="K230" s="965">
        <v>186006</v>
      </c>
    </row>
    <row r="231" spans="1:11">
      <c r="A231" s="857" t="s">
        <v>1320</v>
      </c>
      <c r="B231" s="855">
        <v>141073</v>
      </c>
      <c r="C231" s="855">
        <v>141505</v>
      </c>
      <c r="D231" s="855">
        <v>143377</v>
      </c>
      <c r="E231" s="855">
        <v>144962</v>
      </c>
      <c r="F231" s="855">
        <v>146402</v>
      </c>
      <c r="G231" s="965">
        <v>194217</v>
      </c>
      <c r="H231" s="965">
        <v>194649</v>
      </c>
      <c r="I231" s="965">
        <v>196521</v>
      </c>
      <c r="J231" s="965">
        <v>198106</v>
      </c>
      <c r="K231" s="965">
        <v>199546</v>
      </c>
    </row>
    <row r="232" spans="1:11">
      <c r="A232" s="857" t="s">
        <v>1321</v>
      </c>
      <c r="B232" s="855">
        <v>149139</v>
      </c>
      <c r="C232" s="855">
        <v>150292</v>
      </c>
      <c r="D232" s="855">
        <v>153893</v>
      </c>
      <c r="E232" s="855">
        <v>157062</v>
      </c>
      <c r="F232" s="855">
        <v>159943</v>
      </c>
      <c r="G232" s="965">
        <v>202283</v>
      </c>
      <c r="H232" s="965">
        <v>203436</v>
      </c>
      <c r="I232" s="965">
        <v>207037</v>
      </c>
      <c r="J232" s="965">
        <v>210206</v>
      </c>
      <c r="K232" s="965">
        <v>213087</v>
      </c>
    </row>
    <row r="233" spans="1:11">
      <c r="A233" s="857" t="s">
        <v>1322</v>
      </c>
      <c r="B233" s="855">
        <v>157350</v>
      </c>
      <c r="C233" s="855">
        <v>159079</v>
      </c>
      <c r="D233" s="855">
        <v>164408</v>
      </c>
      <c r="E233" s="855">
        <v>169306</v>
      </c>
      <c r="F233" s="855">
        <v>173483</v>
      </c>
      <c r="G233" s="965">
        <v>210494</v>
      </c>
      <c r="H233" s="965">
        <v>212223</v>
      </c>
      <c r="I233" s="965">
        <v>217552</v>
      </c>
      <c r="J233" s="965">
        <v>222450</v>
      </c>
      <c r="K233" s="965">
        <v>226627</v>
      </c>
    </row>
  </sheetData>
  <sheetProtection password="C9E9" sheet="1" objects="1" scenarios="1"/>
  <autoFilter ref="A1:A233"/>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indexed="46"/>
  </sheetPr>
  <dimension ref="A1:I17"/>
  <sheetViews>
    <sheetView showGridLines="0" view="pageBreakPreview" zoomScaleNormal="100" workbookViewId="0">
      <selection activeCell="A4" sqref="A4:G4"/>
    </sheetView>
  </sheetViews>
  <sheetFormatPr defaultColWidth="2.28515625" defaultRowHeight="12.75"/>
  <cols>
    <col min="1" max="1" width="4" customWidth="1"/>
    <col min="2" max="4" width="9.140625" customWidth="1"/>
    <col min="5" max="5" width="25.28515625" customWidth="1"/>
    <col min="6" max="6" width="38.28515625" customWidth="1"/>
    <col min="7" max="7" width="2.5703125" customWidth="1"/>
    <col min="8" max="9" width="9.140625" customWidth="1"/>
    <col min="10" max="10" width="23.28515625" customWidth="1"/>
    <col min="11" max="255" width="9.140625" customWidth="1"/>
  </cols>
  <sheetData>
    <row r="1" spans="1:9" s="509" customFormat="1" ht="15.75">
      <c r="A1" s="2628">
        <f>+'General '!A49</f>
        <v>0</v>
      </c>
      <c r="B1" s="2628"/>
      <c r="C1" s="2628"/>
      <c r="D1" s="2628"/>
      <c r="E1" s="2628"/>
      <c r="F1" s="2628"/>
      <c r="G1" s="2628"/>
    </row>
    <row r="2" spans="1:9" ht="30.75" customHeight="1">
      <c r="A2" s="2627" t="s">
        <v>188</v>
      </c>
      <c r="B2" s="1486"/>
      <c r="C2" s="1486"/>
      <c r="D2" s="1486"/>
      <c r="E2" s="1486"/>
      <c r="F2" s="1486"/>
      <c r="G2" s="1486"/>
    </row>
    <row r="3" spans="1:9" ht="81" customHeight="1">
      <c r="A3" s="1310" t="s">
        <v>187</v>
      </c>
      <c r="B3" s="1310"/>
      <c r="C3" s="1310"/>
      <c r="D3" s="1310"/>
      <c r="E3" s="1310"/>
      <c r="F3" s="1310"/>
      <c r="G3" s="1310"/>
      <c r="H3" s="56"/>
      <c r="I3" s="56"/>
    </row>
    <row r="4" spans="1:9" ht="409.6" customHeight="1">
      <c r="A4" s="1326" t="str">
        <f>CONCATENATE('Narrative '!A4:A4,'Narrative '!A6:A6,'Narrative '!A8:A8,'Narrative '!A10:A10,'Narrative '!A12:A12,'Narrative '!A14:A14,'Narrative '!A16:A16,'Narrative '!A18:A18,'Narrative '!A20:A20,'Narrative '!A22:A22,'Narrative '!A24:A24,'Narrative '!A26:A26)</f>
        <v/>
      </c>
      <c r="B4" s="1326"/>
      <c r="C4" s="1326"/>
      <c r="D4" s="1326"/>
      <c r="E4" s="1326"/>
      <c r="F4" s="1326"/>
      <c r="G4" s="1326"/>
    </row>
    <row r="5" spans="1:9">
      <c r="A5" s="1310"/>
      <c r="B5" s="1310"/>
      <c r="C5" s="1310"/>
      <c r="D5" s="1310"/>
      <c r="E5" s="1310"/>
      <c r="F5" s="1310"/>
      <c r="G5" s="1310"/>
    </row>
    <row r="6" spans="1:9">
      <c r="A6" s="1310"/>
      <c r="B6" s="1310"/>
      <c r="C6" s="1310"/>
      <c r="D6" s="1310"/>
      <c r="E6" s="1310"/>
      <c r="F6" s="1310"/>
      <c r="G6" s="1310"/>
    </row>
    <row r="7" spans="1:9">
      <c r="A7" s="1310"/>
      <c r="B7" s="1310"/>
      <c r="C7" s="1310"/>
      <c r="D7" s="1310"/>
      <c r="E7" s="1310"/>
      <c r="F7" s="1310"/>
      <c r="G7" s="1310"/>
    </row>
    <row r="8" spans="1:9">
      <c r="A8" s="1310"/>
      <c r="B8" s="1310"/>
      <c r="C8" s="1310"/>
      <c r="D8" s="1310"/>
      <c r="E8" s="1310"/>
      <c r="F8" s="1310"/>
      <c r="G8" s="1310"/>
    </row>
    <row r="9" spans="1:9">
      <c r="A9" s="1310"/>
      <c r="B9" s="1310"/>
      <c r="C9" s="1310"/>
      <c r="D9" s="1310"/>
      <c r="E9" s="1310"/>
      <c r="F9" s="1310"/>
      <c r="G9" s="1310"/>
    </row>
    <row r="10" spans="1:9">
      <c r="A10" s="1310"/>
      <c r="B10" s="1310"/>
      <c r="C10" s="1310"/>
      <c r="D10" s="1310"/>
      <c r="E10" s="1310"/>
      <c r="F10" s="1310"/>
      <c r="G10" s="1310"/>
    </row>
    <row r="11" spans="1:9">
      <c r="A11" s="1310"/>
      <c r="B11" s="1310"/>
      <c r="C11" s="1310"/>
      <c r="D11" s="1310"/>
      <c r="E11" s="1310"/>
      <c r="F11" s="1310"/>
      <c r="G11" s="1310"/>
    </row>
    <row r="12" spans="1:9">
      <c r="A12" s="1310"/>
      <c r="B12" s="1310"/>
      <c r="C12" s="1310"/>
      <c r="D12" s="1310"/>
      <c r="E12" s="1310"/>
      <c r="F12" s="1310"/>
      <c r="G12" s="1310"/>
    </row>
    <row r="13" spans="1:9">
      <c r="A13" s="1310"/>
      <c r="B13" s="1310"/>
      <c r="C13" s="1310"/>
      <c r="D13" s="1310"/>
      <c r="E13" s="1310"/>
      <c r="F13" s="1310"/>
      <c r="G13" s="1310"/>
    </row>
    <row r="14" spans="1:9">
      <c r="A14" s="1310"/>
      <c r="B14" s="1310"/>
      <c r="C14" s="1310"/>
      <c r="D14" s="1310"/>
      <c r="E14" s="1310"/>
      <c r="F14" s="1310"/>
      <c r="G14" s="1310"/>
    </row>
    <row r="15" spans="1:9">
      <c r="A15" s="1310"/>
      <c r="B15" s="1310"/>
      <c r="C15" s="1310"/>
      <c r="D15" s="1310"/>
      <c r="E15" s="1310"/>
      <c r="F15" s="1310"/>
      <c r="G15" s="1310"/>
    </row>
    <row r="16" spans="1:9">
      <c r="A16" s="1310"/>
      <c r="B16" s="1310"/>
      <c r="C16" s="1310"/>
      <c r="D16" s="1310"/>
      <c r="E16" s="1310"/>
      <c r="F16" s="1310"/>
      <c r="G16" s="1310"/>
    </row>
    <row r="17" spans="1:7">
      <c r="A17" s="1310"/>
      <c r="B17" s="1310"/>
      <c r="C17" s="1310"/>
      <c r="D17" s="1310"/>
      <c r="E17" s="1310"/>
      <c r="F17" s="1310"/>
      <c r="G17" s="1310"/>
    </row>
  </sheetData>
  <sheetProtection password="C975" sheet="1" objects="1" scenarios="1" selectLockedCells="1"/>
  <mergeCells count="17">
    <mergeCell ref="A17:G17"/>
    <mergeCell ref="A13:G13"/>
    <mergeCell ref="A14:G14"/>
    <mergeCell ref="A15:G15"/>
    <mergeCell ref="A16:G16"/>
    <mergeCell ref="A10:G10"/>
    <mergeCell ref="A11:G11"/>
    <mergeCell ref="A12:G12"/>
    <mergeCell ref="A5:G5"/>
    <mergeCell ref="A6:G6"/>
    <mergeCell ref="A7:G7"/>
    <mergeCell ref="A8:G8"/>
    <mergeCell ref="A2:G2"/>
    <mergeCell ref="A1:G1"/>
    <mergeCell ref="A3:G3"/>
    <mergeCell ref="A4:G4"/>
    <mergeCell ref="A9:G9"/>
  </mergeCells>
  <phoneticPr fontId="17" type="noConversion"/>
  <printOptions horizontalCentered="1"/>
  <pageMargins left="0.5" right="0.5" top="0.5" bottom="0.5" header="0.63" footer="0.25"/>
  <pageSetup firstPageNumber="3" orientation="portrait" r:id="rId1"/>
  <headerFooter alignWithMargins="0">
    <oddFooter>&amp;RVersion:  7/11/2007</oddFooter>
  </headerFooter>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2:H81"/>
  <sheetViews>
    <sheetView workbookViewId="0"/>
  </sheetViews>
  <sheetFormatPr defaultRowHeight="12.75"/>
  <sheetData>
    <row r="2" spans="1:8">
      <c r="A2">
        <v>1</v>
      </c>
      <c r="B2">
        <v>1</v>
      </c>
      <c r="C2">
        <v>1</v>
      </c>
      <c r="D2">
        <v>1</v>
      </c>
      <c r="E2">
        <v>1</v>
      </c>
      <c r="F2">
        <v>1</v>
      </c>
      <c r="G2" t="s">
        <v>78</v>
      </c>
      <c r="H2" t="s">
        <v>78</v>
      </c>
    </row>
    <row r="3" spans="1:8">
      <c r="A3">
        <v>2</v>
      </c>
      <c r="B3">
        <v>2</v>
      </c>
      <c r="C3">
        <v>2</v>
      </c>
      <c r="D3">
        <v>2</v>
      </c>
      <c r="E3">
        <v>2</v>
      </c>
      <c r="F3">
        <v>2</v>
      </c>
      <c r="G3" t="s">
        <v>79</v>
      </c>
      <c r="H3" t="s">
        <v>79</v>
      </c>
    </row>
    <row r="4" spans="1:8">
      <c r="A4">
        <v>3</v>
      </c>
      <c r="B4">
        <v>3</v>
      </c>
      <c r="C4">
        <v>3</v>
      </c>
      <c r="D4">
        <v>3</v>
      </c>
      <c r="E4">
        <v>3</v>
      </c>
      <c r="F4">
        <v>3</v>
      </c>
      <c r="G4" t="s">
        <v>80</v>
      </c>
      <c r="H4" t="s">
        <v>80</v>
      </c>
    </row>
    <row r="5" spans="1:8">
      <c r="A5">
        <v>4</v>
      </c>
      <c r="B5">
        <v>4</v>
      </c>
      <c r="C5">
        <v>4</v>
      </c>
      <c r="D5">
        <v>4</v>
      </c>
      <c r="E5">
        <v>4</v>
      </c>
      <c r="F5">
        <v>4</v>
      </c>
      <c r="G5" t="s">
        <v>81</v>
      </c>
      <c r="H5" t="s">
        <v>81</v>
      </c>
    </row>
    <row r="6" spans="1:8">
      <c r="A6">
        <v>5</v>
      </c>
      <c r="B6">
        <v>5</v>
      </c>
      <c r="C6">
        <v>5</v>
      </c>
      <c r="D6">
        <v>5</v>
      </c>
      <c r="E6">
        <v>5</v>
      </c>
      <c r="F6">
        <v>5</v>
      </c>
      <c r="G6" t="s">
        <v>82</v>
      </c>
      <c r="H6" t="s">
        <v>82</v>
      </c>
    </row>
    <row r="7" spans="1:8">
      <c r="A7">
        <v>6</v>
      </c>
      <c r="B7">
        <v>6</v>
      </c>
      <c r="C7">
        <v>6</v>
      </c>
      <c r="D7">
        <v>6</v>
      </c>
      <c r="E7">
        <v>6</v>
      </c>
      <c r="F7">
        <v>6</v>
      </c>
      <c r="G7" t="s">
        <v>83</v>
      </c>
      <c r="H7" t="s">
        <v>83</v>
      </c>
    </row>
    <row r="8" spans="1:8">
      <c r="A8">
        <v>7</v>
      </c>
      <c r="B8">
        <v>7</v>
      </c>
      <c r="C8">
        <v>7</v>
      </c>
      <c r="D8">
        <v>7</v>
      </c>
      <c r="E8">
        <v>7</v>
      </c>
      <c r="F8">
        <v>7</v>
      </c>
      <c r="G8" t="s">
        <v>84</v>
      </c>
      <c r="H8" t="s">
        <v>84</v>
      </c>
    </row>
    <row r="9" spans="1:8">
      <c r="A9">
        <v>8</v>
      </c>
      <c r="B9">
        <v>8</v>
      </c>
      <c r="C9">
        <v>8</v>
      </c>
      <c r="D9">
        <v>8</v>
      </c>
      <c r="E9">
        <v>8</v>
      </c>
      <c r="F9">
        <v>8</v>
      </c>
      <c r="G9" t="s">
        <v>85</v>
      </c>
      <c r="H9" t="s">
        <v>85</v>
      </c>
    </row>
    <row r="10" spans="1:8">
      <c r="A10">
        <v>9</v>
      </c>
      <c r="B10">
        <v>9</v>
      </c>
      <c r="C10">
        <v>9</v>
      </c>
      <c r="D10">
        <v>9</v>
      </c>
      <c r="E10">
        <v>9</v>
      </c>
      <c r="F10">
        <v>9</v>
      </c>
      <c r="G10" t="s">
        <v>86</v>
      </c>
      <c r="H10" t="s">
        <v>86</v>
      </c>
    </row>
    <row r="11" spans="1:8">
      <c r="A11">
        <v>10</v>
      </c>
      <c r="B11">
        <v>10</v>
      </c>
      <c r="C11">
        <v>10</v>
      </c>
      <c r="D11">
        <v>10</v>
      </c>
      <c r="E11">
        <v>10</v>
      </c>
      <c r="F11">
        <v>10</v>
      </c>
      <c r="G11" t="s">
        <v>87</v>
      </c>
      <c r="H11" t="s">
        <v>87</v>
      </c>
    </row>
    <row r="12" spans="1:8">
      <c r="A12">
        <v>11</v>
      </c>
      <c r="B12">
        <v>11</v>
      </c>
      <c r="C12">
        <v>11</v>
      </c>
      <c r="D12">
        <v>11</v>
      </c>
      <c r="E12">
        <v>11</v>
      </c>
      <c r="F12">
        <v>11</v>
      </c>
      <c r="G12" t="s">
        <v>77</v>
      </c>
      <c r="H12" t="s">
        <v>77</v>
      </c>
    </row>
    <row r="13" spans="1:8">
      <c r="A13">
        <v>12</v>
      </c>
      <c r="B13">
        <v>12</v>
      </c>
      <c r="C13">
        <v>12</v>
      </c>
      <c r="D13">
        <v>12</v>
      </c>
      <c r="E13">
        <v>12</v>
      </c>
      <c r="F13">
        <v>12</v>
      </c>
      <c r="G13" t="s">
        <v>88</v>
      </c>
      <c r="H13" t="s">
        <v>88</v>
      </c>
    </row>
    <row r="14" spans="1:8">
      <c r="A14">
        <v>13</v>
      </c>
      <c r="B14">
        <v>13</v>
      </c>
      <c r="C14">
        <v>13</v>
      </c>
      <c r="D14">
        <v>13</v>
      </c>
      <c r="E14">
        <v>13</v>
      </c>
      <c r="F14">
        <v>13</v>
      </c>
      <c r="G14" t="s">
        <v>89</v>
      </c>
      <c r="H14" t="s">
        <v>89</v>
      </c>
    </row>
    <row r="15" spans="1:8">
      <c r="A15">
        <v>14</v>
      </c>
      <c r="B15">
        <v>14</v>
      </c>
      <c r="C15">
        <v>14</v>
      </c>
      <c r="D15">
        <v>14</v>
      </c>
      <c r="E15">
        <v>14</v>
      </c>
      <c r="F15">
        <v>14</v>
      </c>
      <c r="G15" t="s">
        <v>90</v>
      </c>
      <c r="H15" t="s">
        <v>90</v>
      </c>
    </row>
    <row r="16" spans="1:8">
      <c r="A16">
        <v>15</v>
      </c>
      <c r="B16">
        <v>15</v>
      </c>
      <c r="C16">
        <v>15</v>
      </c>
      <c r="D16">
        <v>15</v>
      </c>
      <c r="E16">
        <v>15</v>
      </c>
      <c r="F16">
        <v>15</v>
      </c>
      <c r="G16" t="s">
        <v>91</v>
      </c>
      <c r="H16" t="s">
        <v>91</v>
      </c>
    </row>
    <row r="17" spans="1:8">
      <c r="A17">
        <v>16</v>
      </c>
      <c r="B17">
        <v>16</v>
      </c>
      <c r="C17">
        <v>16</v>
      </c>
      <c r="D17">
        <v>16</v>
      </c>
      <c r="E17">
        <v>16</v>
      </c>
      <c r="F17">
        <v>16</v>
      </c>
      <c r="G17" t="s">
        <v>92</v>
      </c>
      <c r="H17" t="s">
        <v>92</v>
      </c>
    </row>
    <row r="18" spans="1:8">
      <c r="A18">
        <v>17</v>
      </c>
      <c r="B18">
        <v>17</v>
      </c>
      <c r="C18">
        <v>17</v>
      </c>
      <c r="D18">
        <v>17</v>
      </c>
      <c r="E18">
        <v>17</v>
      </c>
      <c r="F18">
        <v>17</v>
      </c>
      <c r="G18" t="s">
        <v>93</v>
      </c>
      <c r="H18" t="s">
        <v>93</v>
      </c>
    </row>
    <row r="19" spans="1:8">
      <c r="A19">
        <v>18</v>
      </c>
      <c r="B19">
        <v>18</v>
      </c>
      <c r="C19">
        <v>18</v>
      </c>
      <c r="D19">
        <v>18</v>
      </c>
      <c r="E19">
        <v>18</v>
      </c>
      <c r="F19">
        <v>18</v>
      </c>
      <c r="G19" t="s">
        <v>94</v>
      </c>
      <c r="H19" t="s">
        <v>94</v>
      </c>
    </row>
    <row r="20" spans="1:8">
      <c r="A20">
        <v>19</v>
      </c>
      <c r="B20">
        <v>19</v>
      </c>
      <c r="C20">
        <v>19</v>
      </c>
      <c r="D20">
        <v>19</v>
      </c>
      <c r="E20">
        <v>19</v>
      </c>
      <c r="F20">
        <v>19</v>
      </c>
      <c r="G20" t="s">
        <v>95</v>
      </c>
      <c r="H20" t="s">
        <v>95</v>
      </c>
    </row>
    <row r="21" spans="1:8">
      <c r="A21">
        <v>20</v>
      </c>
      <c r="B21">
        <v>20</v>
      </c>
      <c r="C21">
        <v>20</v>
      </c>
      <c r="D21">
        <v>20</v>
      </c>
      <c r="E21">
        <v>20</v>
      </c>
      <c r="F21">
        <v>20</v>
      </c>
      <c r="G21" t="s">
        <v>96</v>
      </c>
      <c r="H21" t="s">
        <v>96</v>
      </c>
    </row>
    <row r="22" spans="1:8">
      <c r="A22">
        <v>22</v>
      </c>
      <c r="B22">
        <v>22</v>
      </c>
      <c r="C22">
        <v>22</v>
      </c>
      <c r="D22">
        <v>22</v>
      </c>
      <c r="E22">
        <v>21</v>
      </c>
      <c r="F22">
        <v>21</v>
      </c>
      <c r="G22" t="s">
        <v>97</v>
      </c>
      <c r="H22" t="s">
        <v>97</v>
      </c>
    </row>
    <row r="23" spans="1:8">
      <c r="A23">
        <v>23</v>
      </c>
      <c r="B23">
        <v>23</v>
      </c>
      <c r="C23">
        <v>23</v>
      </c>
      <c r="D23">
        <v>23</v>
      </c>
      <c r="E23">
        <v>22</v>
      </c>
      <c r="F23">
        <v>22</v>
      </c>
      <c r="G23" t="s">
        <v>98</v>
      </c>
      <c r="H23" t="s">
        <v>98</v>
      </c>
    </row>
    <row r="24" spans="1:8">
      <c r="A24">
        <v>24</v>
      </c>
      <c r="B24">
        <v>24</v>
      </c>
      <c r="C24">
        <v>24</v>
      </c>
      <c r="D24">
        <v>24</v>
      </c>
      <c r="E24">
        <v>23</v>
      </c>
      <c r="F24">
        <v>23</v>
      </c>
      <c r="G24" t="s">
        <v>99</v>
      </c>
      <c r="H24" t="s">
        <v>99</v>
      </c>
    </row>
    <row r="25" spans="1:8">
      <c r="A25">
        <v>25</v>
      </c>
      <c r="B25">
        <v>25</v>
      </c>
      <c r="C25">
        <v>25</v>
      </c>
      <c r="D25">
        <v>25</v>
      </c>
      <c r="E25">
        <v>24</v>
      </c>
      <c r="F25">
        <v>24</v>
      </c>
      <c r="G25" t="s">
        <v>100</v>
      </c>
      <c r="H25" t="s">
        <v>100</v>
      </c>
    </row>
    <row r="26" spans="1:8">
      <c r="A26">
        <v>26</v>
      </c>
      <c r="B26">
        <v>26</v>
      </c>
      <c r="C26">
        <v>26</v>
      </c>
      <c r="D26">
        <v>26</v>
      </c>
      <c r="E26">
        <v>25</v>
      </c>
      <c r="F26">
        <v>25</v>
      </c>
      <c r="G26" t="s">
        <v>101</v>
      </c>
      <c r="H26" t="s">
        <v>101</v>
      </c>
    </row>
    <row r="27" spans="1:8">
      <c r="A27">
        <v>27</v>
      </c>
      <c r="B27">
        <v>27</v>
      </c>
      <c r="C27">
        <v>27</v>
      </c>
      <c r="D27">
        <v>27</v>
      </c>
      <c r="E27">
        <v>26</v>
      </c>
      <c r="F27">
        <v>26</v>
      </c>
      <c r="G27" t="s">
        <v>102</v>
      </c>
      <c r="H27" t="s">
        <v>102</v>
      </c>
    </row>
    <row r="28" spans="1:8">
      <c r="A28">
        <v>28</v>
      </c>
      <c r="B28">
        <v>28</v>
      </c>
      <c r="C28">
        <v>28</v>
      </c>
      <c r="D28">
        <v>28</v>
      </c>
      <c r="E28">
        <v>27</v>
      </c>
      <c r="F28">
        <v>27</v>
      </c>
      <c r="G28" t="s">
        <v>103</v>
      </c>
      <c r="H28" t="s">
        <v>103</v>
      </c>
    </row>
    <row r="29" spans="1:8">
      <c r="A29">
        <v>29</v>
      </c>
      <c r="B29">
        <v>29</v>
      </c>
      <c r="C29">
        <v>29</v>
      </c>
      <c r="D29">
        <v>29</v>
      </c>
      <c r="E29">
        <v>28</v>
      </c>
      <c r="F29">
        <v>28</v>
      </c>
      <c r="G29" t="s">
        <v>104</v>
      </c>
      <c r="H29" t="s">
        <v>104</v>
      </c>
    </row>
    <row r="30" spans="1:8">
      <c r="A30">
        <v>30</v>
      </c>
      <c r="B30">
        <v>30</v>
      </c>
      <c r="C30">
        <v>30</v>
      </c>
      <c r="D30">
        <v>30</v>
      </c>
      <c r="E30">
        <v>29</v>
      </c>
      <c r="F30">
        <v>29</v>
      </c>
      <c r="G30" t="s">
        <v>105</v>
      </c>
      <c r="H30" t="s">
        <v>105</v>
      </c>
    </row>
    <row r="31" spans="1:8">
      <c r="A31">
        <v>31</v>
      </c>
      <c r="B31">
        <v>31</v>
      </c>
      <c r="C31">
        <v>31</v>
      </c>
      <c r="D31">
        <v>31</v>
      </c>
      <c r="E31">
        <v>30</v>
      </c>
      <c r="F31">
        <v>30</v>
      </c>
      <c r="G31" t="s">
        <v>106</v>
      </c>
      <c r="H31" t="s">
        <v>106</v>
      </c>
    </row>
    <row r="32" spans="1:8">
      <c r="A32">
        <v>32</v>
      </c>
      <c r="B32">
        <v>32</v>
      </c>
      <c r="C32">
        <v>32</v>
      </c>
      <c r="D32">
        <v>32</v>
      </c>
      <c r="E32">
        <v>31</v>
      </c>
      <c r="F32">
        <v>31</v>
      </c>
      <c r="G32" t="s">
        <v>107</v>
      </c>
      <c r="H32" t="s">
        <v>107</v>
      </c>
    </row>
    <row r="33" spans="1:8">
      <c r="A33">
        <v>33</v>
      </c>
      <c r="B33">
        <v>33</v>
      </c>
      <c r="C33">
        <v>33</v>
      </c>
      <c r="D33">
        <v>33</v>
      </c>
      <c r="E33">
        <v>32</v>
      </c>
      <c r="F33">
        <v>32</v>
      </c>
      <c r="G33" t="s">
        <v>108</v>
      </c>
      <c r="H33" t="s">
        <v>108</v>
      </c>
    </row>
    <row r="34" spans="1:8">
      <c r="A34">
        <v>34</v>
      </c>
      <c r="B34">
        <v>34</v>
      </c>
      <c r="C34">
        <v>34</v>
      </c>
      <c r="D34">
        <v>34</v>
      </c>
      <c r="E34">
        <v>33</v>
      </c>
      <c r="F34">
        <v>33</v>
      </c>
      <c r="G34" t="s">
        <v>109</v>
      </c>
      <c r="H34" t="s">
        <v>109</v>
      </c>
    </row>
    <row r="35" spans="1:8">
      <c r="A35">
        <v>35</v>
      </c>
      <c r="B35">
        <v>35</v>
      </c>
      <c r="C35">
        <v>35</v>
      </c>
      <c r="D35">
        <v>35</v>
      </c>
      <c r="E35">
        <v>34</v>
      </c>
      <c r="F35">
        <v>34</v>
      </c>
      <c r="G35" t="s">
        <v>110</v>
      </c>
      <c r="H35" t="s">
        <v>110</v>
      </c>
    </row>
    <row r="36" spans="1:8">
      <c r="A36">
        <v>36</v>
      </c>
      <c r="B36">
        <v>36</v>
      </c>
      <c r="C36">
        <v>36</v>
      </c>
      <c r="D36">
        <v>36</v>
      </c>
      <c r="E36">
        <v>35</v>
      </c>
      <c r="F36">
        <v>35</v>
      </c>
      <c r="G36" t="s">
        <v>111</v>
      </c>
      <c r="H36" t="s">
        <v>111</v>
      </c>
    </row>
    <row r="37" spans="1:8">
      <c r="A37">
        <v>37</v>
      </c>
      <c r="B37">
        <v>37</v>
      </c>
      <c r="C37">
        <v>37</v>
      </c>
      <c r="D37">
        <v>37</v>
      </c>
      <c r="E37">
        <v>36</v>
      </c>
      <c r="F37">
        <v>36</v>
      </c>
      <c r="G37" t="s">
        <v>112</v>
      </c>
      <c r="H37" t="s">
        <v>112</v>
      </c>
    </row>
    <row r="38" spans="1:8">
      <c r="A38">
        <v>38</v>
      </c>
      <c r="B38">
        <v>38</v>
      </c>
      <c r="C38">
        <v>38</v>
      </c>
      <c r="D38">
        <v>38</v>
      </c>
      <c r="E38">
        <v>37</v>
      </c>
      <c r="F38">
        <v>37</v>
      </c>
      <c r="G38" t="s">
        <v>113</v>
      </c>
      <c r="H38" t="s">
        <v>113</v>
      </c>
    </row>
    <row r="39" spans="1:8">
      <c r="A39">
        <v>39</v>
      </c>
      <c r="B39">
        <v>39</v>
      </c>
      <c r="C39">
        <v>39</v>
      </c>
      <c r="D39">
        <v>39</v>
      </c>
      <c r="E39">
        <v>38</v>
      </c>
      <c r="F39">
        <v>38</v>
      </c>
      <c r="G39" t="s">
        <v>114</v>
      </c>
      <c r="H39" t="s">
        <v>114</v>
      </c>
    </row>
    <row r="40" spans="1:8">
      <c r="A40">
        <v>40</v>
      </c>
      <c r="B40">
        <v>40</v>
      </c>
      <c r="C40">
        <v>40</v>
      </c>
      <c r="D40">
        <v>40</v>
      </c>
      <c r="E40">
        <v>39</v>
      </c>
      <c r="F40">
        <v>39</v>
      </c>
      <c r="G40" t="s">
        <v>115</v>
      </c>
      <c r="H40" t="s">
        <v>115</v>
      </c>
    </row>
    <row r="41" spans="1:8">
      <c r="A41">
        <v>41</v>
      </c>
      <c r="B41">
        <v>41</v>
      </c>
      <c r="E41">
        <v>40</v>
      </c>
      <c r="F41">
        <v>40</v>
      </c>
      <c r="G41" t="s">
        <v>116</v>
      </c>
      <c r="H41" t="s">
        <v>116</v>
      </c>
    </row>
    <row r="42" spans="1:8">
      <c r="A42">
        <v>42</v>
      </c>
      <c r="B42">
        <v>42</v>
      </c>
      <c r="E42">
        <v>41</v>
      </c>
      <c r="F42">
        <v>41</v>
      </c>
      <c r="G42" t="s">
        <v>117</v>
      </c>
      <c r="H42" t="s">
        <v>117</v>
      </c>
    </row>
    <row r="43" spans="1:8">
      <c r="A43">
        <v>43</v>
      </c>
      <c r="B43">
        <v>43</v>
      </c>
      <c r="E43">
        <v>42</v>
      </c>
      <c r="F43">
        <v>42</v>
      </c>
      <c r="G43" t="s">
        <v>118</v>
      </c>
      <c r="H43" t="s">
        <v>118</v>
      </c>
    </row>
    <row r="44" spans="1:8">
      <c r="A44">
        <v>44</v>
      </c>
      <c r="B44">
        <v>44</v>
      </c>
      <c r="E44">
        <v>43</v>
      </c>
      <c r="F44">
        <v>43</v>
      </c>
      <c r="G44" t="s">
        <v>119</v>
      </c>
      <c r="H44" t="s">
        <v>119</v>
      </c>
    </row>
    <row r="45" spans="1:8">
      <c r="A45">
        <v>45</v>
      </c>
      <c r="B45">
        <v>45</v>
      </c>
      <c r="E45">
        <v>44</v>
      </c>
      <c r="F45">
        <v>44</v>
      </c>
      <c r="G45" t="s">
        <v>120</v>
      </c>
      <c r="H45" t="s">
        <v>120</v>
      </c>
    </row>
    <row r="46" spans="1:8">
      <c r="A46">
        <v>46</v>
      </c>
      <c r="B46">
        <v>46</v>
      </c>
      <c r="E46">
        <v>45</v>
      </c>
      <c r="F46">
        <v>45</v>
      </c>
      <c r="G46" t="s">
        <v>121</v>
      </c>
      <c r="H46" t="s">
        <v>121</v>
      </c>
    </row>
    <row r="47" spans="1:8">
      <c r="A47">
        <v>47</v>
      </c>
      <c r="B47">
        <v>47</v>
      </c>
      <c r="E47">
        <v>46</v>
      </c>
      <c r="F47">
        <v>46</v>
      </c>
      <c r="G47" t="s">
        <v>122</v>
      </c>
      <c r="H47" t="s">
        <v>122</v>
      </c>
    </row>
    <row r="48" spans="1:8">
      <c r="A48">
        <v>48</v>
      </c>
      <c r="B48">
        <v>48</v>
      </c>
      <c r="E48">
        <v>47</v>
      </c>
      <c r="F48">
        <v>47</v>
      </c>
      <c r="G48" t="s">
        <v>123</v>
      </c>
      <c r="H48" t="s">
        <v>123</v>
      </c>
    </row>
    <row r="49" spans="1:8">
      <c r="A49">
        <v>49</v>
      </c>
      <c r="B49">
        <v>49</v>
      </c>
      <c r="E49">
        <v>48</v>
      </c>
      <c r="F49">
        <v>48</v>
      </c>
      <c r="G49" t="s">
        <v>124</v>
      </c>
      <c r="H49" t="s">
        <v>124</v>
      </c>
    </row>
    <row r="50" spans="1:8">
      <c r="A50">
        <v>50</v>
      </c>
      <c r="B50">
        <v>50</v>
      </c>
      <c r="E50">
        <v>49</v>
      </c>
      <c r="F50">
        <v>49</v>
      </c>
      <c r="G50" t="s">
        <v>125</v>
      </c>
      <c r="H50" t="s">
        <v>125</v>
      </c>
    </row>
    <row r="51" spans="1:8">
      <c r="A51">
        <v>51</v>
      </c>
      <c r="B51">
        <v>51</v>
      </c>
      <c r="E51">
        <v>50</v>
      </c>
      <c r="F51">
        <v>50</v>
      </c>
      <c r="G51" t="s">
        <v>126</v>
      </c>
      <c r="H51" t="s">
        <v>126</v>
      </c>
    </row>
    <row r="52" spans="1:8">
      <c r="A52">
        <v>52</v>
      </c>
      <c r="B52">
        <v>52</v>
      </c>
      <c r="E52">
        <v>51</v>
      </c>
      <c r="F52">
        <v>51</v>
      </c>
      <c r="G52" t="s">
        <v>127</v>
      </c>
      <c r="H52" t="s">
        <v>127</v>
      </c>
    </row>
    <row r="53" spans="1:8">
      <c r="E53">
        <v>52</v>
      </c>
      <c r="F53">
        <v>52</v>
      </c>
    </row>
    <row r="54" spans="1:8">
      <c r="E54">
        <v>53</v>
      </c>
      <c r="F54">
        <v>53</v>
      </c>
    </row>
    <row r="55" spans="1:8">
      <c r="E55">
        <v>54</v>
      </c>
      <c r="F55">
        <v>54</v>
      </c>
    </row>
    <row r="56" spans="1:8">
      <c r="E56">
        <v>55</v>
      </c>
      <c r="F56">
        <v>55</v>
      </c>
    </row>
    <row r="57" spans="1:8">
      <c r="E57">
        <v>56</v>
      </c>
      <c r="F57">
        <v>56</v>
      </c>
    </row>
    <row r="58" spans="1:8">
      <c r="E58">
        <v>57</v>
      </c>
      <c r="F58">
        <v>57</v>
      </c>
    </row>
    <row r="59" spans="1:8">
      <c r="E59">
        <v>58</v>
      </c>
      <c r="F59">
        <v>58</v>
      </c>
    </row>
    <row r="60" spans="1:8">
      <c r="E60">
        <v>59</v>
      </c>
      <c r="F60">
        <v>59</v>
      </c>
    </row>
    <row r="61" spans="1:8">
      <c r="E61">
        <v>60</v>
      </c>
      <c r="F61">
        <v>60</v>
      </c>
    </row>
    <row r="62" spans="1:8">
      <c r="E62">
        <v>61</v>
      </c>
      <c r="F62">
        <v>61</v>
      </c>
    </row>
    <row r="63" spans="1:8">
      <c r="E63">
        <v>62</v>
      </c>
      <c r="F63">
        <v>62</v>
      </c>
    </row>
    <row r="64" spans="1:8">
      <c r="E64">
        <v>63</v>
      </c>
      <c r="F64">
        <v>63</v>
      </c>
    </row>
    <row r="65" spans="5:6">
      <c r="E65">
        <v>64</v>
      </c>
      <c r="F65">
        <v>64</v>
      </c>
    </row>
    <row r="66" spans="5:6">
      <c r="E66">
        <v>65</v>
      </c>
      <c r="F66">
        <v>65</v>
      </c>
    </row>
    <row r="67" spans="5:6">
      <c r="E67">
        <v>66</v>
      </c>
      <c r="F67">
        <v>66</v>
      </c>
    </row>
    <row r="68" spans="5:6">
      <c r="E68">
        <v>67</v>
      </c>
      <c r="F68">
        <v>67</v>
      </c>
    </row>
    <row r="69" spans="5:6">
      <c r="E69">
        <v>68</v>
      </c>
      <c r="F69">
        <v>68</v>
      </c>
    </row>
    <row r="70" spans="5:6">
      <c r="E70">
        <v>69</v>
      </c>
      <c r="F70">
        <v>69</v>
      </c>
    </row>
    <row r="71" spans="5:6">
      <c r="E71">
        <v>70</v>
      </c>
      <c r="F71">
        <v>70</v>
      </c>
    </row>
    <row r="72" spans="5:6">
      <c r="E72">
        <v>71</v>
      </c>
      <c r="F72">
        <v>71</v>
      </c>
    </row>
    <row r="73" spans="5:6">
      <c r="E73">
        <v>72</v>
      </c>
      <c r="F73">
        <v>72</v>
      </c>
    </row>
    <row r="74" spans="5:6">
      <c r="E74">
        <v>73</v>
      </c>
      <c r="F74">
        <v>73</v>
      </c>
    </row>
    <row r="75" spans="5:6">
      <c r="E75">
        <v>74</v>
      </c>
      <c r="F75">
        <v>74</v>
      </c>
    </row>
    <row r="76" spans="5:6">
      <c r="E76">
        <v>75</v>
      </c>
      <c r="F76">
        <v>75</v>
      </c>
    </row>
    <row r="77" spans="5:6">
      <c r="E77">
        <v>76</v>
      </c>
      <c r="F77">
        <v>76</v>
      </c>
    </row>
    <row r="78" spans="5:6">
      <c r="E78">
        <v>77</v>
      </c>
      <c r="F78">
        <v>77</v>
      </c>
    </row>
    <row r="79" spans="5:6">
      <c r="E79">
        <v>78</v>
      </c>
      <c r="F79">
        <v>78</v>
      </c>
    </row>
    <row r="80" spans="5:6">
      <c r="E80">
        <v>79</v>
      </c>
      <c r="F80">
        <v>79</v>
      </c>
    </row>
    <row r="81" spans="5:6">
      <c r="E81">
        <v>80</v>
      </c>
      <c r="F81">
        <v>80</v>
      </c>
    </row>
  </sheetData>
  <phoneticPr fontId="17" type="noConversion"/>
  <pageMargins left="0.75" right="0.75" top="1" bottom="1" header="0.5" footer="0.5"/>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indexed="45"/>
  </sheetPr>
  <dimension ref="A1:BJ83"/>
  <sheetViews>
    <sheetView view="pageBreakPreview" topLeftCell="Y1" zoomScaleNormal="100" workbookViewId="0">
      <selection activeCell="AF3" sqref="AF3"/>
    </sheetView>
  </sheetViews>
  <sheetFormatPr defaultColWidth="9.140625" defaultRowHeight="12.75"/>
  <cols>
    <col min="1" max="1" width="17" bestFit="1" customWidth="1"/>
    <col min="2" max="2" width="25.7109375" bestFit="1" customWidth="1"/>
    <col min="3" max="3" width="31.7109375" bestFit="1" customWidth="1"/>
    <col min="4" max="4" width="24.42578125" bestFit="1" customWidth="1"/>
    <col min="5" max="5" width="12.5703125" bestFit="1" customWidth="1"/>
    <col min="6" max="6" width="25" bestFit="1" customWidth="1"/>
    <col min="7" max="7" width="30.42578125" bestFit="1" customWidth="1"/>
    <col min="8" max="8" width="20.5703125" bestFit="1" customWidth="1"/>
    <col min="9" max="9" width="18" bestFit="1" customWidth="1"/>
    <col min="10" max="10" width="13.85546875" bestFit="1" customWidth="1"/>
    <col min="11" max="11" width="18.85546875" bestFit="1" customWidth="1"/>
    <col min="12" max="12" width="12.5703125" bestFit="1" customWidth="1"/>
    <col min="13" max="13" width="22.5703125" bestFit="1" customWidth="1"/>
    <col min="14" max="14" width="17.28515625" bestFit="1" customWidth="1"/>
    <col min="15" max="15" width="20.140625" bestFit="1" customWidth="1"/>
    <col min="16" max="16" width="31" bestFit="1" customWidth="1"/>
    <col min="17" max="17" width="18.85546875" bestFit="1" customWidth="1"/>
    <col min="18" max="18" width="27.5703125" customWidth="1"/>
    <col min="19" max="19" width="21.140625" bestFit="1" customWidth="1"/>
    <col min="20" max="20" width="25.28515625" bestFit="1" customWidth="1"/>
    <col min="21" max="21" width="18.5703125" bestFit="1" customWidth="1"/>
    <col min="22" max="22" width="26.5703125" bestFit="1" customWidth="1"/>
    <col min="23" max="23" width="29.85546875" bestFit="1" customWidth="1"/>
    <col min="24" max="24" width="28.85546875" bestFit="1" customWidth="1"/>
    <col min="25" max="25" width="25.140625" bestFit="1" customWidth="1"/>
    <col min="27" max="27" width="11" bestFit="1" customWidth="1"/>
    <col min="28" max="28" width="12.5703125" bestFit="1" customWidth="1"/>
    <col min="29" max="29" width="14" bestFit="1" customWidth="1"/>
    <col min="30" max="30" width="15.5703125" bestFit="1" customWidth="1"/>
    <col min="31" max="31" width="28.28515625" bestFit="1" customWidth="1"/>
    <col min="32" max="32" width="13.140625" bestFit="1" customWidth="1"/>
    <col min="33" max="33" width="10.7109375" bestFit="1" customWidth="1"/>
    <col min="35" max="35" width="18" bestFit="1" customWidth="1"/>
    <col min="36" max="36" width="22.7109375" bestFit="1" customWidth="1"/>
    <col min="37" max="37" width="17.85546875" bestFit="1" customWidth="1"/>
  </cols>
  <sheetData>
    <row r="1" spans="1:62" ht="38.25">
      <c r="A1" s="818"/>
      <c r="B1" t="s">
        <v>440</v>
      </c>
      <c r="C1" t="s">
        <v>440</v>
      </c>
      <c r="D1" t="s">
        <v>440</v>
      </c>
      <c r="E1" t="s">
        <v>440</v>
      </c>
      <c r="F1" t="s">
        <v>440</v>
      </c>
      <c r="G1" t="s">
        <v>440</v>
      </c>
      <c r="H1" t="s">
        <v>440</v>
      </c>
      <c r="I1" t="s">
        <v>440</v>
      </c>
      <c r="J1" t="s">
        <v>440</v>
      </c>
      <c r="K1" s="56" t="s">
        <v>500</v>
      </c>
      <c r="L1" t="s">
        <v>440</v>
      </c>
      <c r="M1" t="s">
        <v>440</v>
      </c>
      <c r="N1" t="s">
        <v>440</v>
      </c>
      <c r="O1" t="s">
        <v>440</v>
      </c>
      <c r="P1" t="s">
        <v>440</v>
      </c>
      <c r="Q1" t="s">
        <v>440</v>
      </c>
      <c r="R1" t="s">
        <v>440</v>
      </c>
      <c r="S1" t="s">
        <v>440</v>
      </c>
      <c r="T1" t="s">
        <v>440</v>
      </c>
      <c r="U1" t="s">
        <v>440</v>
      </c>
      <c r="V1" t="s">
        <v>491</v>
      </c>
      <c r="W1" t="s">
        <v>491</v>
      </c>
      <c r="X1" t="s">
        <v>492</v>
      </c>
      <c r="Y1" t="s">
        <v>492</v>
      </c>
      <c r="Z1" t="s">
        <v>492</v>
      </c>
      <c r="AA1" s="56" t="s">
        <v>495</v>
      </c>
      <c r="AB1" t="s">
        <v>494</v>
      </c>
      <c r="AC1" t="s">
        <v>494</v>
      </c>
      <c r="AD1" t="s">
        <v>494</v>
      </c>
      <c r="AE1" t="s">
        <v>494</v>
      </c>
      <c r="AF1" t="s">
        <v>496</v>
      </c>
      <c r="AG1" t="s">
        <v>496</v>
      </c>
      <c r="AH1" t="s">
        <v>496</v>
      </c>
      <c r="AI1" t="s">
        <v>499</v>
      </c>
      <c r="AJ1" t="s">
        <v>499</v>
      </c>
      <c r="AK1" t="s">
        <v>499</v>
      </c>
    </row>
    <row r="2" spans="1:62">
      <c r="A2" s="818" t="s">
        <v>930</v>
      </c>
      <c r="B2" s="44" t="s">
        <v>408</v>
      </c>
      <c r="C2" s="44" t="s">
        <v>301</v>
      </c>
      <c r="D2" s="44" t="s">
        <v>55</v>
      </c>
      <c r="E2" s="44" t="s">
        <v>435</v>
      </c>
      <c r="F2" s="44" t="s">
        <v>302</v>
      </c>
      <c r="G2" s="71" t="s">
        <v>412</v>
      </c>
      <c r="H2" s="44" t="s">
        <v>951</v>
      </c>
      <c r="I2" s="44" t="s">
        <v>556</v>
      </c>
      <c r="J2" s="44" t="s">
        <v>562</v>
      </c>
      <c r="K2" s="44" t="s">
        <v>452</v>
      </c>
      <c r="L2" s="44" t="s">
        <v>713</v>
      </c>
      <c r="M2" s="819" t="s">
        <v>461</v>
      </c>
      <c r="N2" s="44" t="s">
        <v>462</v>
      </c>
      <c r="O2" s="44" t="s">
        <v>950</v>
      </c>
      <c r="P2" s="44" t="s">
        <v>560</v>
      </c>
      <c r="Q2" s="44" t="s">
        <v>523</v>
      </c>
      <c r="R2" s="44" t="s">
        <v>952</v>
      </c>
      <c r="S2" s="44" t="s">
        <v>488</v>
      </c>
      <c r="T2" s="44" t="s">
        <v>489</v>
      </c>
      <c r="U2" s="44" t="s">
        <v>490</v>
      </c>
      <c r="V2" s="44" t="s">
        <v>143</v>
      </c>
      <c r="W2" s="44" t="s">
        <v>230</v>
      </c>
      <c r="X2" s="44" t="s">
        <v>878</v>
      </c>
      <c r="Y2" s="44" t="s">
        <v>643</v>
      </c>
      <c r="Z2" s="44" t="s">
        <v>290</v>
      </c>
      <c r="AA2" s="44" t="s">
        <v>400</v>
      </c>
      <c r="AB2" s="44" t="s">
        <v>752</v>
      </c>
      <c r="AC2" s="44" t="s">
        <v>675</v>
      </c>
      <c r="AD2" s="44" t="s">
        <v>493</v>
      </c>
      <c r="AE2" s="44" t="s">
        <v>676</v>
      </c>
      <c r="AF2" s="44" t="s">
        <v>783</v>
      </c>
      <c r="AG2" s="44" t="s">
        <v>802</v>
      </c>
      <c r="AH2" s="44" t="s">
        <v>654</v>
      </c>
      <c r="AI2" s="44" t="s">
        <v>497</v>
      </c>
      <c r="AJ2" s="44" t="s">
        <v>498</v>
      </c>
      <c r="AK2" s="44" t="s">
        <v>616</v>
      </c>
      <c r="AL2" s="44"/>
      <c r="AM2" s="44"/>
      <c r="AN2" s="44"/>
      <c r="AO2" s="44"/>
      <c r="AP2" s="44"/>
      <c r="AQ2" s="44"/>
      <c r="AR2" s="44"/>
      <c r="AS2" s="44"/>
      <c r="AT2" s="44"/>
      <c r="AU2" s="44"/>
      <c r="AV2" s="44"/>
      <c r="AW2" s="44"/>
      <c r="AX2" s="44"/>
      <c r="AY2" s="44"/>
      <c r="AZ2" s="44"/>
      <c r="BA2" s="44"/>
      <c r="BB2" s="44"/>
      <c r="BC2" s="44"/>
      <c r="BD2" s="44"/>
      <c r="BE2" s="44"/>
      <c r="BF2" s="44"/>
      <c r="BG2" s="44"/>
      <c r="BH2" s="44"/>
      <c r="BI2" s="44"/>
      <c r="BJ2" s="44"/>
    </row>
    <row r="3" spans="1:62">
      <c r="B3" t="s">
        <v>410</v>
      </c>
      <c r="C3" s="82" t="s">
        <v>406</v>
      </c>
      <c r="D3" t="s">
        <v>534</v>
      </c>
      <c r="E3" t="s">
        <v>438</v>
      </c>
      <c r="F3" t="s">
        <v>439</v>
      </c>
      <c r="G3" t="s">
        <v>420</v>
      </c>
      <c r="H3" t="s">
        <v>514</v>
      </c>
      <c r="I3" t="s">
        <v>458</v>
      </c>
      <c r="J3" t="s">
        <v>563</v>
      </c>
      <c r="K3" t="s">
        <v>456</v>
      </c>
      <c r="L3" t="s">
        <v>440</v>
      </c>
      <c r="M3" t="s">
        <v>468</v>
      </c>
      <c r="N3" t="s">
        <v>469</v>
      </c>
      <c r="O3" t="s">
        <v>470</v>
      </c>
      <c r="P3" t="s">
        <v>561</v>
      </c>
      <c r="Q3" t="s">
        <v>4</v>
      </c>
      <c r="R3" s="12" t="s">
        <v>180</v>
      </c>
      <c r="S3" s="550">
        <v>1</v>
      </c>
      <c r="T3" s="550">
        <v>1</v>
      </c>
      <c r="U3" s="364">
        <v>1</v>
      </c>
      <c r="V3" s="820" t="s">
        <v>513</v>
      </c>
      <c r="W3" s="197" t="s">
        <v>151</v>
      </c>
      <c r="X3" t="s">
        <v>884</v>
      </c>
      <c r="Y3" t="s">
        <v>471</v>
      </c>
      <c r="Z3" t="s">
        <v>291</v>
      </c>
      <c r="AA3" s="821" t="s">
        <v>654</v>
      </c>
      <c r="AB3" t="s">
        <v>757</v>
      </c>
      <c r="AC3" t="s">
        <v>680</v>
      </c>
      <c r="AD3" s="16" t="s">
        <v>471</v>
      </c>
      <c r="AE3" t="s">
        <v>681</v>
      </c>
      <c r="AF3" s="123">
        <v>0.15</v>
      </c>
      <c r="AG3" t="s">
        <v>673</v>
      </c>
      <c r="AH3" s="267" t="s">
        <v>145</v>
      </c>
      <c r="AI3" t="s">
        <v>614</v>
      </c>
      <c r="AJ3" t="s">
        <v>617</v>
      </c>
      <c r="AK3" t="s">
        <v>618</v>
      </c>
    </row>
    <row r="4" spans="1:62">
      <c r="B4" t="s">
        <v>411</v>
      </c>
      <c r="C4" s="82" t="s">
        <v>407</v>
      </c>
      <c r="D4" t="s">
        <v>535</v>
      </c>
      <c r="E4" t="s">
        <v>442</v>
      </c>
      <c r="F4" t="s">
        <v>443</v>
      </c>
      <c r="G4" t="s">
        <v>425</v>
      </c>
      <c r="H4" t="s">
        <v>510</v>
      </c>
      <c r="I4" t="s">
        <v>558</v>
      </c>
      <c r="J4" t="s">
        <v>564</v>
      </c>
      <c r="K4" t="s">
        <v>458</v>
      </c>
      <c r="L4" t="s">
        <v>431</v>
      </c>
      <c r="M4" t="s">
        <v>472</v>
      </c>
      <c r="N4" t="s">
        <v>473</v>
      </c>
      <c r="O4" t="s">
        <v>474</v>
      </c>
      <c r="P4" t="s">
        <v>599</v>
      </c>
      <c r="Q4" t="s">
        <v>5</v>
      </c>
      <c r="R4" s="646" t="s">
        <v>995</v>
      </c>
      <c r="S4" s="550">
        <v>2</v>
      </c>
      <c r="T4" s="550">
        <v>2</v>
      </c>
      <c r="U4" s="364">
        <v>2</v>
      </c>
      <c r="V4" s="820" t="s">
        <v>515</v>
      </c>
      <c r="W4" s="197" t="s">
        <v>152</v>
      </c>
      <c r="X4" t="s">
        <v>879</v>
      </c>
      <c r="Y4" t="s">
        <v>477</v>
      </c>
      <c r="Z4" s="120" t="s">
        <v>287</v>
      </c>
      <c r="AA4" s="121" t="s">
        <v>145</v>
      </c>
      <c r="AB4" t="s">
        <v>733</v>
      </c>
      <c r="AC4" t="s">
        <v>684</v>
      </c>
      <c r="AD4" s="16" t="s">
        <v>477</v>
      </c>
      <c r="AE4" t="s">
        <v>685</v>
      </c>
      <c r="AF4" s="123">
        <v>0.2</v>
      </c>
      <c r="AG4" t="s">
        <v>794</v>
      </c>
      <c r="AH4" s="267" t="s">
        <v>146</v>
      </c>
      <c r="AI4" t="s">
        <v>615</v>
      </c>
      <c r="AJ4" t="s">
        <v>619</v>
      </c>
      <c r="AK4" t="s">
        <v>620</v>
      </c>
    </row>
    <row r="5" spans="1:62">
      <c r="C5" s="82" t="s">
        <v>409</v>
      </c>
      <c r="D5" t="s">
        <v>536</v>
      </c>
      <c r="F5" t="s">
        <v>446</v>
      </c>
      <c r="G5" t="s">
        <v>431</v>
      </c>
      <c r="H5" s="38" t="s">
        <v>518</v>
      </c>
      <c r="I5" t="s">
        <v>374</v>
      </c>
      <c r="J5" t="s">
        <v>565</v>
      </c>
      <c r="L5" t="s">
        <v>459</v>
      </c>
      <c r="M5" t="s">
        <v>478</v>
      </c>
      <c r="N5" t="s">
        <v>479</v>
      </c>
      <c r="O5" t="s">
        <v>480</v>
      </c>
      <c r="P5" t="s">
        <v>600</v>
      </c>
      <c r="Q5" t="s">
        <v>6</v>
      </c>
      <c r="R5" s="12" t="s">
        <v>1408</v>
      </c>
      <c r="S5" s="550">
        <v>3</v>
      </c>
      <c r="T5" s="550">
        <v>3</v>
      </c>
      <c r="U5" s="364">
        <v>3</v>
      </c>
      <c r="V5" s="820" t="s">
        <v>517</v>
      </c>
      <c r="W5" s="197" t="s">
        <v>33</v>
      </c>
      <c r="X5" t="s">
        <v>880</v>
      </c>
      <c r="Z5" t="s">
        <v>191</v>
      </c>
      <c r="AA5" s="121" t="s">
        <v>146</v>
      </c>
      <c r="AC5" t="s">
        <v>689</v>
      </c>
      <c r="AD5" s="16" t="s">
        <v>690</v>
      </c>
      <c r="AE5" s="37"/>
      <c r="AF5" s="123">
        <v>0.25</v>
      </c>
      <c r="AG5" t="s">
        <v>733</v>
      </c>
      <c r="AH5" s="267" t="s">
        <v>147</v>
      </c>
      <c r="AI5" t="s">
        <v>469</v>
      </c>
      <c r="AJ5" t="s">
        <v>621</v>
      </c>
      <c r="AK5" t="s">
        <v>622</v>
      </c>
    </row>
    <row r="6" spans="1:62">
      <c r="C6" s="82" t="s">
        <v>355</v>
      </c>
      <c r="D6" t="s">
        <v>537</v>
      </c>
      <c r="F6" t="s">
        <v>448</v>
      </c>
      <c r="G6" t="s">
        <v>436</v>
      </c>
      <c r="H6" t="s">
        <v>525</v>
      </c>
      <c r="J6" t="s">
        <v>566</v>
      </c>
      <c r="M6" t="s">
        <v>483</v>
      </c>
      <c r="N6" t="s">
        <v>484</v>
      </c>
      <c r="O6" t="s">
        <v>485</v>
      </c>
      <c r="P6" t="s">
        <v>602</v>
      </c>
      <c r="R6" s="12" t="s">
        <v>3</v>
      </c>
      <c r="S6" s="550">
        <v>4</v>
      </c>
      <c r="T6" s="550">
        <v>4</v>
      </c>
      <c r="U6" s="364">
        <v>4</v>
      </c>
      <c r="V6" s="820" t="s">
        <v>522</v>
      </c>
      <c r="W6" s="197" t="s">
        <v>153</v>
      </c>
      <c r="X6" t="s">
        <v>881</v>
      </c>
      <c r="AA6" s="121" t="s">
        <v>147</v>
      </c>
      <c r="AC6" t="s">
        <v>695</v>
      </c>
      <c r="AD6" s="16"/>
      <c r="AE6" s="37"/>
      <c r="AF6" s="123">
        <v>0.3</v>
      </c>
      <c r="AH6" s="267" t="s">
        <v>148</v>
      </c>
      <c r="AI6" t="s">
        <v>733</v>
      </c>
      <c r="AJ6" t="s">
        <v>623</v>
      </c>
      <c r="AK6" t="s">
        <v>624</v>
      </c>
    </row>
    <row r="7" spans="1:62">
      <c r="C7" s="82" t="s">
        <v>387</v>
      </c>
      <c r="F7" t="s">
        <v>453</v>
      </c>
      <c r="G7" t="s">
        <v>444</v>
      </c>
      <c r="H7" t="s">
        <v>543</v>
      </c>
      <c r="J7" t="s">
        <v>567</v>
      </c>
      <c r="M7" t="s">
        <v>50</v>
      </c>
      <c r="N7" t="s">
        <v>486</v>
      </c>
      <c r="O7" t="s">
        <v>487</v>
      </c>
      <c r="P7" t="s">
        <v>603</v>
      </c>
      <c r="R7" s="12" t="s">
        <v>1048</v>
      </c>
      <c r="S7" s="550">
        <v>5</v>
      </c>
      <c r="T7" s="550">
        <v>5</v>
      </c>
      <c r="U7" s="364">
        <v>5</v>
      </c>
      <c r="V7" s="820" t="s">
        <v>541</v>
      </c>
      <c r="W7" s="197" t="s">
        <v>733</v>
      </c>
      <c r="X7" t="s">
        <v>882</v>
      </c>
      <c r="AA7" s="121" t="s">
        <v>148</v>
      </c>
      <c r="AF7" s="123">
        <v>0.35</v>
      </c>
      <c r="AH7" s="267" t="s">
        <v>149</v>
      </c>
      <c r="AJ7" t="s">
        <v>625</v>
      </c>
      <c r="AK7" t="s">
        <v>733</v>
      </c>
    </row>
    <row r="8" spans="1:62">
      <c r="F8" t="s">
        <v>375</v>
      </c>
      <c r="G8" t="s">
        <v>447</v>
      </c>
      <c r="H8" t="s">
        <v>547</v>
      </c>
      <c r="J8" t="s">
        <v>568</v>
      </c>
      <c r="N8" t="s">
        <v>511</v>
      </c>
      <c r="O8" t="s">
        <v>512</v>
      </c>
      <c r="P8" t="s">
        <v>604</v>
      </c>
      <c r="R8" s="12" t="s">
        <v>7</v>
      </c>
      <c r="S8" s="550">
        <v>6</v>
      </c>
      <c r="T8" s="550">
        <v>6</v>
      </c>
      <c r="U8" s="364">
        <v>6</v>
      </c>
      <c r="V8" s="820" t="s">
        <v>395</v>
      </c>
      <c r="W8" s="197"/>
      <c r="X8" t="s">
        <v>883</v>
      </c>
      <c r="AA8" s="121" t="s">
        <v>149</v>
      </c>
      <c r="AF8" s="123">
        <v>0.4</v>
      </c>
      <c r="AH8" s="267" t="s">
        <v>150</v>
      </c>
      <c r="AJ8" t="s">
        <v>469</v>
      </c>
    </row>
    <row r="9" spans="1:62">
      <c r="G9" t="s">
        <v>449</v>
      </c>
      <c r="H9" t="s">
        <v>550</v>
      </c>
      <c r="J9" t="s">
        <v>569</v>
      </c>
      <c r="O9" t="s">
        <v>57</v>
      </c>
      <c r="R9" s="12" t="s">
        <v>8</v>
      </c>
      <c r="S9" s="550">
        <v>7</v>
      </c>
      <c r="T9" s="550">
        <v>7</v>
      </c>
      <c r="U9" s="364">
        <v>7</v>
      </c>
      <c r="V9" s="820" t="s">
        <v>546</v>
      </c>
      <c r="W9" s="197"/>
      <c r="X9" t="s">
        <v>886</v>
      </c>
      <c r="AA9" s="121" t="s">
        <v>150</v>
      </c>
      <c r="AF9" s="123">
        <v>0.45</v>
      </c>
      <c r="AJ9" t="s">
        <v>626</v>
      </c>
    </row>
    <row r="10" spans="1:62">
      <c r="G10" t="s">
        <v>446</v>
      </c>
      <c r="H10" t="s">
        <v>553</v>
      </c>
      <c r="J10" t="s">
        <v>559</v>
      </c>
      <c r="R10" s="12" t="s">
        <v>9</v>
      </c>
      <c r="S10" s="550">
        <v>8</v>
      </c>
      <c r="T10" s="550">
        <v>8</v>
      </c>
      <c r="U10" s="364">
        <v>8</v>
      </c>
      <c r="V10" s="820" t="s">
        <v>548</v>
      </c>
      <c r="AF10" s="123">
        <v>0.5</v>
      </c>
      <c r="AJ10" t="s">
        <v>627</v>
      </c>
    </row>
    <row r="11" spans="1:62">
      <c r="G11" t="s">
        <v>386</v>
      </c>
      <c r="H11" t="s">
        <v>524</v>
      </c>
      <c r="J11" t="s">
        <v>570</v>
      </c>
      <c r="R11" s="12" t="s">
        <v>1056</v>
      </c>
      <c r="S11" s="550">
        <v>9</v>
      </c>
      <c r="T11" s="550">
        <v>9</v>
      </c>
      <c r="U11" s="364">
        <v>9</v>
      </c>
      <c r="V11" s="820" t="s">
        <v>552</v>
      </c>
      <c r="AF11" s="123">
        <v>0.55000000000000004</v>
      </c>
      <c r="AJ11" t="s">
        <v>628</v>
      </c>
    </row>
    <row r="12" spans="1:62">
      <c r="G12" t="s">
        <v>448</v>
      </c>
      <c r="H12" t="s">
        <v>549</v>
      </c>
      <c r="J12" s="43" t="s">
        <v>571</v>
      </c>
      <c r="R12" s="12" t="s">
        <v>1073</v>
      </c>
      <c r="S12" s="550">
        <v>10</v>
      </c>
      <c r="T12" s="550">
        <v>10</v>
      </c>
      <c r="U12" s="364">
        <v>10</v>
      </c>
      <c r="V12" s="820" t="s">
        <v>379</v>
      </c>
      <c r="AF12" s="123">
        <v>0.6</v>
      </c>
      <c r="AJ12" t="s">
        <v>733</v>
      </c>
    </row>
    <row r="13" spans="1:62">
      <c r="G13" t="s">
        <v>460</v>
      </c>
      <c r="H13" t="s">
        <v>542</v>
      </c>
      <c r="J13" t="s">
        <v>572</v>
      </c>
      <c r="R13" s="12" t="s">
        <v>1047</v>
      </c>
      <c r="S13" s="550">
        <v>11</v>
      </c>
      <c r="T13" s="550">
        <v>11</v>
      </c>
      <c r="U13" s="364">
        <v>11</v>
      </c>
      <c r="V13" s="820" t="s">
        <v>218</v>
      </c>
      <c r="AF13" s="123">
        <v>0.7</v>
      </c>
    </row>
    <row r="14" spans="1:62">
      <c r="J14" t="s">
        <v>573</v>
      </c>
      <c r="R14" s="12" t="s">
        <v>2</v>
      </c>
      <c r="S14" s="550">
        <v>12</v>
      </c>
      <c r="T14" s="550">
        <v>12</v>
      </c>
      <c r="U14" s="364">
        <v>12</v>
      </c>
      <c r="V14" s="820" t="s">
        <v>733</v>
      </c>
      <c r="AF14" s="123">
        <v>0.8</v>
      </c>
    </row>
    <row r="15" spans="1:62">
      <c r="J15" t="s">
        <v>574</v>
      </c>
      <c r="R15" s="12" t="s">
        <v>996</v>
      </c>
      <c r="S15" s="550">
        <v>13</v>
      </c>
      <c r="T15" s="550">
        <v>13</v>
      </c>
      <c r="U15" s="364">
        <v>13</v>
      </c>
      <c r="AF15" s="123">
        <v>0.9</v>
      </c>
    </row>
    <row r="16" spans="1:62">
      <c r="J16" t="s">
        <v>575</v>
      </c>
      <c r="S16" s="550">
        <v>14</v>
      </c>
      <c r="T16" s="550">
        <v>14</v>
      </c>
      <c r="U16" s="364">
        <v>14</v>
      </c>
      <c r="AF16" s="123">
        <v>1</v>
      </c>
    </row>
    <row r="17" spans="10:32">
      <c r="J17" t="s">
        <v>576</v>
      </c>
      <c r="S17" s="550">
        <v>15</v>
      </c>
      <c r="T17" s="550">
        <v>15</v>
      </c>
      <c r="U17" s="364">
        <v>15</v>
      </c>
      <c r="AF17" s="123">
        <v>1.1000000000000001</v>
      </c>
    </row>
    <row r="18" spans="10:32">
      <c r="J18" t="s">
        <v>577</v>
      </c>
      <c r="S18" s="550">
        <v>16</v>
      </c>
      <c r="T18" s="550">
        <v>16</v>
      </c>
      <c r="U18" s="364">
        <v>16</v>
      </c>
      <c r="AF18" s="123">
        <v>1.2</v>
      </c>
    </row>
    <row r="19" spans="10:32">
      <c r="J19" t="s">
        <v>578</v>
      </c>
      <c r="S19" s="550">
        <v>17</v>
      </c>
      <c r="T19" s="550">
        <v>17</v>
      </c>
      <c r="U19" s="364">
        <v>17</v>
      </c>
    </row>
    <row r="20" spans="10:32">
      <c r="J20" s="38" t="s">
        <v>579</v>
      </c>
      <c r="S20" s="550">
        <v>18</v>
      </c>
      <c r="T20" s="550">
        <v>18</v>
      </c>
      <c r="U20" s="364">
        <v>18</v>
      </c>
    </row>
    <row r="21" spans="10:32">
      <c r="J21" t="s">
        <v>580</v>
      </c>
      <c r="S21" s="550">
        <v>19</v>
      </c>
      <c r="T21" s="550">
        <v>19</v>
      </c>
      <c r="U21" s="364">
        <v>19</v>
      </c>
    </row>
    <row r="22" spans="10:32">
      <c r="J22" t="s">
        <v>581</v>
      </c>
      <c r="S22" s="550">
        <v>20</v>
      </c>
      <c r="T22" s="550">
        <v>20</v>
      </c>
      <c r="U22" s="364">
        <v>20</v>
      </c>
    </row>
    <row r="23" spans="10:32">
      <c r="J23" t="s">
        <v>582</v>
      </c>
      <c r="S23" s="550">
        <v>21</v>
      </c>
      <c r="T23" s="550">
        <v>21</v>
      </c>
      <c r="U23" s="364">
        <v>21</v>
      </c>
    </row>
    <row r="24" spans="10:32">
      <c r="J24" t="s">
        <v>583</v>
      </c>
      <c r="S24" s="550">
        <v>22</v>
      </c>
      <c r="T24" s="550">
        <v>22</v>
      </c>
      <c r="U24" s="364">
        <v>22</v>
      </c>
    </row>
    <row r="25" spans="10:32">
      <c r="J25" t="s">
        <v>584</v>
      </c>
      <c r="S25" s="550">
        <v>23</v>
      </c>
      <c r="T25" s="550">
        <v>23</v>
      </c>
      <c r="U25" s="364">
        <v>23</v>
      </c>
    </row>
    <row r="26" spans="10:32">
      <c r="J26" t="s">
        <v>585</v>
      </c>
      <c r="S26" s="550">
        <v>24</v>
      </c>
      <c r="T26" s="550">
        <v>24</v>
      </c>
      <c r="U26" s="364">
        <v>24</v>
      </c>
    </row>
    <row r="27" spans="10:32">
      <c r="J27" t="s">
        <v>586</v>
      </c>
      <c r="S27" s="550">
        <v>25</v>
      </c>
      <c r="T27" s="550">
        <v>25</v>
      </c>
      <c r="U27" s="364">
        <v>25</v>
      </c>
    </row>
    <row r="28" spans="10:32">
      <c r="J28" t="s">
        <v>587</v>
      </c>
      <c r="S28" s="550">
        <v>26</v>
      </c>
      <c r="T28" s="550">
        <v>26</v>
      </c>
      <c r="U28" s="364">
        <v>26</v>
      </c>
    </row>
    <row r="29" spans="10:32">
      <c r="J29" t="s">
        <v>588</v>
      </c>
      <c r="S29" s="550">
        <v>27</v>
      </c>
      <c r="T29" s="550">
        <v>27</v>
      </c>
      <c r="U29" s="364">
        <v>27</v>
      </c>
    </row>
    <row r="30" spans="10:32">
      <c r="J30" t="s">
        <v>589</v>
      </c>
      <c r="S30" s="550">
        <v>28</v>
      </c>
      <c r="T30" s="550">
        <v>28</v>
      </c>
      <c r="U30" s="364">
        <v>28</v>
      </c>
    </row>
    <row r="31" spans="10:32">
      <c r="J31" t="s">
        <v>590</v>
      </c>
      <c r="S31" s="550">
        <v>29</v>
      </c>
      <c r="T31" s="550">
        <v>29</v>
      </c>
      <c r="U31" s="364">
        <v>29</v>
      </c>
    </row>
    <row r="32" spans="10:32">
      <c r="J32" t="s">
        <v>591</v>
      </c>
      <c r="S32" s="550">
        <v>30</v>
      </c>
      <c r="T32" s="550">
        <v>30</v>
      </c>
      <c r="U32" s="364">
        <v>30</v>
      </c>
    </row>
    <row r="33" spans="10:21">
      <c r="J33" t="s">
        <v>592</v>
      </c>
      <c r="S33" s="550">
        <v>31</v>
      </c>
      <c r="T33" s="550">
        <v>31</v>
      </c>
      <c r="U33" s="364">
        <v>31</v>
      </c>
    </row>
    <row r="34" spans="10:21">
      <c r="J34" s="38" t="s">
        <v>593</v>
      </c>
      <c r="S34" s="550">
        <v>32</v>
      </c>
      <c r="T34" s="550">
        <v>32</v>
      </c>
      <c r="U34" s="364">
        <v>32</v>
      </c>
    </row>
    <row r="35" spans="10:21">
      <c r="J35" t="s">
        <v>594</v>
      </c>
      <c r="S35" s="550">
        <v>33</v>
      </c>
      <c r="T35" s="550">
        <v>33</v>
      </c>
      <c r="U35" s="364">
        <v>33</v>
      </c>
    </row>
    <row r="36" spans="10:21">
      <c r="J36" s="16" t="s">
        <v>595</v>
      </c>
      <c r="S36" s="550">
        <v>34</v>
      </c>
      <c r="T36" s="550">
        <v>34</v>
      </c>
      <c r="U36" s="364">
        <v>34</v>
      </c>
    </row>
    <row r="37" spans="10:21">
      <c r="J37" s="16" t="s">
        <v>596</v>
      </c>
      <c r="S37" s="550">
        <v>35</v>
      </c>
      <c r="T37" s="550">
        <v>35</v>
      </c>
      <c r="U37" s="364">
        <v>35</v>
      </c>
    </row>
    <row r="38" spans="10:21">
      <c r="J38" s="16" t="s">
        <v>76</v>
      </c>
      <c r="S38" s="550">
        <v>36</v>
      </c>
      <c r="T38" s="550">
        <v>36</v>
      </c>
      <c r="U38" s="364">
        <v>36</v>
      </c>
    </row>
    <row r="39" spans="10:21">
      <c r="J39" t="s">
        <v>597</v>
      </c>
      <c r="S39" s="550">
        <v>37</v>
      </c>
      <c r="T39" s="550">
        <v>37</v>
      </c>
      <c r="U39" s="364">
        <v>37</v>
      </c>
    </row>
    <row r="40" spans="10:21">
      <c r="J40" s="82" t="s">
        <v>1393</v>
      </c>
      <c r="S40" s="550">
        <v>38</v>
      </c>
      <c r="T40" s="550">
        <v>38</v>
      </c>
      <c r="U40" s="364">
        <v>38</v>
      </c>
    </row>
    <row r="41" spans="10:21">
      <c r="J41" t="s">
        <v>598</v>
      </c>
      <c r="S41" s="550">
        <v>39</v>
      </c>
      <c r="T41" s="550">
        <v>39</v>
      </c>
      <c r="U41" s="364">
        <v>39</v>
      </c>
    </row>
    <row r="42" spans="10:21">
      <c r="J42" t="s">
        <v>931</v>
      </c>
      <c r="S42" s="550">
        <v>40</v>
      </c>
      <c r="T42" s="550">
        <v>40</v>
      </c>
      <c r="U42" s="364">
        <v>40</v>
      </c>
    </row>
    <row r="43" spans="10:21">
      <c r="J43" t="s">
        <v>932</v>
      </c>
      <c r="S43" s="550">
        <v>41</v>
      </c>
      <c r="T43" s="550">
        <v>41</v>
      </c>
      <c r="U43" s="364"/>
    </row>
    <row r="44" spans="10:21">
      <c r="J44" t="s">
        <v>933</v>
      </c>
      <c r="S44" s="550">
        <v>42</v>
      </c>
      <c r="T44" s="550">
        <v>42</v>
      </c>
      <c r="U44" s="364"/>
    </row>
    <row r="45" spans="10:21">
      <c r="J45" t="s">
        <v>934</v>
      </c>
      <c r="S45" s="550">
        <v>43</v>
      </c>
      <c r="T45" s="550">
        <v>43</v>
      </c>
    </row>
    <row r="46" spans="10:21">
      <c r="J46" t="s">
        <v>935</v>
      </c>
      <c r="S46" s="550">
        <v>44</v>
      </c>
      <c r="T46" s="550">
        <v>44</v>
      </c>
    </row>
    <row r="47" spans="10:21">
      <c r="J47" t="s">
        <v>936</v>
      </c>
      <c r="S47" s="550">
        <v>45</v>
      </c>
      <c r="T47" s="550">
        <v>45</v>
      </c>
    </row>
    <row r="48" spans="10:21">
      <c r="J48" t="s">
        <v>937</v>
      </c>
      <c r="S48" s="550">
        <v>46</v>
      </c>
      <c r="T48" s="550">
        <v>46</v>
      </c>
    </row>
    <row r="49" spans="10:20">
      <c r="J49" t="s">
        <v>938</v>
      </c>
      <c r="S49" s="550">
        <v>47</v>
      </c>
      <c r="T49" s="550">
        <v>47</v>
      </c>
    </row>
    <row r="50" spans="10:20">
      <c r="J50" t="s">
        <v>939</v>
      </c>
      <c r="S50" s="550">
        <v>48</v>
      </c>
      <c r="T50" s="550">
        <v>48</v>
      </c>
    </row>
    <row r="51" spans="10:20">
      <c r="J51" t="s">
        <v>940</v>
      </c>
      <c r="S51" s="550">
        <v>49</v>
      </c>
      <c r="T51" s="550">
        <v>49</v>
      </c>
    </row>
    <row r="52" spans="10:20">
      <c r="J52" t="s">
        <v>941</v>
      </c>
      <c r="S52" s="550">
        <v>50</v>
      </c>
      <c r="T52" s="550">
        <v>50</v>
      </c>
    </row>
    <row r="53" spans="10:20">
      <c r="J53" t="s">
        <v>942</v>
      </c>
      <c r="S53" s="550">
        <v>51</v>
      </c>
      <c r="T53" s="550">
        <v>51</v>
      </c>
    </row>
    <row r="54" spans="10:20">
      <c r="J54" t="s">
        <v>943</v>
      </c>
      <c r="S54" s="550">
        <v>52</v>
      </c>
      <c r="T54" s="550">
        <v>52</v>
      </c>
    </row>
    <row r="55" spans="10:20">
      <c r="J55" t="s">
        <v>944</v>
      </c>
      <c r="S55" s="550">
        <v>53</v>
      </c>
      <c r="T55" s="550">
        <v>53</v>
      </c>
    </row>
    <row r="56" spans="10:20">
      <c r="J56" t="s">
        <v>945</v>
      </c>
      <c r="S56" s="550">
        <v>54</v>
      </c>
      <c r="T56" s="550"/>
    </row>
    <row r="57" spans="10:20">
      <c r="J57" t="s">
        <v>946</v>
      </c>
      <c r="S57" s="550">
        <v>55</v>
      </c>
      <c r="T57" s="550"/>
    </row>
    <row r="58" spans="10:20">
      <c r="J58" t="s">
        <v>947</v>
      </c>
      <c r="S58" s="550">
        <v>56</v>
      </c>
    </row>
    <row r="59" spans="10:20">
      <c r="J59" t="s">
        <v>948</v>
      </c>
      <c r="S59" s="550">
        <v>57</v>
      </c>
    </row>
    <row r="60" spans="10:20">
      <c r="J60" t="s">
        <v>949</v>
      </c>
      <c r="S60" s="550">
        <v>58</v>
      </c>
    </row>
    <row r="61" spans="10:20">
      <c r="S61" s="550">
        <v>59</v>
      </c>
    </row>
    <row r="62" spans="10:20">
      <c r="S62" s="550">
        <v>60</v>
      </c>
    </row>
    <row r="63" spans="10:20">
      <c r="S63" s="550">
        <v>61</v>
      </c>
    </row>
    <row r="64" spans="10:20">
      <c r="S64" s="550">
        <v>62</v>
      </c>
    </row>
    <row r="65" spans="19:19">
      <c r="S65" s="550">
        <v>63</v>
      </c>
    </row>
    <row r="66" spans="19:19">
      <c r="S66" s="550">
        <v>64</v>
      </c>
    </row>
    <row r="67" spans="19:19">
      <c r="S67" s="550">
        <v>65</v>
      </c>
    </row>
    <row r="68" spans="19:19">
      <c r="S68" s="550">
        <v>66</v>
      </c>
    </row>
    <row r="69" spans="19:19">
      <c r="S69" s="550">
        <v>67</v>
      </c>
    </row>
    <row r="70" spans="19:19">
      <c r="S70" s="550">
        <v>68</v>
      </c>
    </row>
    <row r="71" spans="19:19">
      <c r="S71" s="550">
        <v>69</v>
      </c>
    </row>
    <row r="72" spans="19:19">
      <c r="S72" s="550">
        <v>70</v>
      </c>
    </row>
    <row r="73" spans="19:19">
      <c r="S73" s="550">
        <v>71</v>
      </c>
    </row>
    <row r="74" spans="19:19">
      <c r="S74" s="550">
        <v>72</v>
      </c>
    </row>
    <row r="75" spans="19:19">
      <c r="S75" s="550">
        <v>73</v>
      </c>
    </row>
    <row r="76" spans="19:19">
      <c r="S76" s="550">
        <v>74</v>
      </c>
    </row>
    <row r="77" spans="19:19">
      <c r="S77" s="550">
        <v>75</v>
      </c>
    </row>
    <row r="78" spans="19:19">
      <c r="S78" s="550">
        <v>76</v>
      </c>
    </row>
    <row r="79" spans="19:19">
      <c r="S79" s="550">
        <v>77</v>
      </c>
    </row>
    <row r="80" spans="19:19">
      <c r="S80" s="550">
        <v>78</v>
      </c>
    </row>
    <row r="81" spans="19:19">
      <c r="S81" s="550">
        <v>79</v>
      </c>
    </row>
    <row r="82" spans="19:19">
      <c r="S82" s="550">
        <v>80</v>
      </c>
    </row>
    <row r="83" spans="19:19">
      <c r="S83" s="550"/>
    </row>
  </sheetData>
  <phoneticPr fontId="17" type="noConversion"/>
  <pageMargins left="0.75" right="0.75" top="1" bottom="1" header="0.5" footer="0.5"/>
  <pageSetup orientation="portrait" horizontalDpi="300" verticalDpi="300" r:id="rId1"/>
  <headerFooter alignWithMargins="0">
    <oddFooter>&amp;RVersion:  7/11/2007</oddFooter>
  </headerFooter>
  <colBreaks count="1" manualBreakCount="1">
    <brk id="17" max="1048575" man="1"/>
  </colBreaks>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indexed="45"/>
  </sheetPr>
  <dimension ref="A1:V35"/>
  <sheetViews>
    <sheetView zoomScaleNormal="100" zoomScaleSheetLayoutView="100" workbookViewId="0">
      <selection activeCell="H1" sqref="H1"/>
    </sheetView>
  </sheetViews>
  <sheetFormatPr defaultRowHeight="12.75"/>
  <cols>
    <col min="1" max="1" width="32" customWidth="1"/>
    <col min="2" max="2" width="25.7109375" style="16" bestFit="1" customWidth="1"/>
    <col min="3" max="3" width="31.7109375" style="16" bestFit="1" customWidth="1"/>
  </cols>
  <sheetData>
    <row r="1" spans="1:22" ht="26.25" customHeight="1">
      <c r="A1" s="2629" t="s">
        <v>131</v>
      </c>
      <c r="B1" s="2630"/>
      <c r="C1" s="2631"/>
    </row>
    <row r="2" spans="1:22" s="16" customFormat="1" ht="26.25" thickBot="1">
      <c r="A2" s="553" t="s">
        <v>128</v>
      </c>
      <c r="B2" s="554" t="s">
        <v>129</v>
      </c>
      <c r="C2" s="556" t="s">
        <v>929</v>
      </c>
    </row>
    <row r="3" spans="1:22" s="16" customFormat="1">
      <c r="A3" s="16" t="s">
        <v>217</v>
      </c>
      <c r="B3" s="16" t="s">
        <v>132</v>
      </c>
      <c r="C3" s="16" t="e">
        <f>(#REF!&amp;" "&amp;#REF!)</f>
        <v>#REF!</v>
      </c>
      <c r="D3" s="44"/>
      <c r="E3" s="44"/>
      <c r="F3" s="44"/>
      <c r="G3" s="44"/>
      <c r="H3" s="44"/>
      <c r="I3" s="44"/>
      <c r="J3" s="44"/>
      <c r="K3" s="44"/>
      <c r="L3" s="44"/>
      <c r="M3" s="44"/>
      <c r="N3" s="44"/>
      <c r="O3" s="44"/>
      <c r="P3" s="44"/>
      <c r="Q3" s="44"/>
      <c r="R3" s="44"/>
      <c r="S3" s="44"/>
      <c r="T3" s="44"/>
      <c r="U3" s="44"/>
      <c r="V3" s="44"/>
    </row>
    <row r="4" spans="1:22" s="16" customFormat="1">
      <c r="A4" s="16" t="s">
        <v>871</v>
      </c>
      <c r="B4" s="122" t="s">
        <v>922</v>
      </c>
      <c r="C4" s="16" t="e">
        <f>(#REF!&amp;" "&amp;#REF!)</f>
        <v>#REF!</v>
      </c>
      <c r="D4" s="44"/>
      <c r="E4" s="44"/>
      <c r="F4" s="44"/>
      <c r="G4" s="44"/>
      <c r="H4" s="44"/>
      <c r="I4" s="44"/>
      <c r="J4" s="44"/>
      <c r="K4" s="44"/>
      <c r="L4" s="44"/>
      <c r="M4" s="44"/>
      <c r="N4" s="44"/>
      <c r="O4" s="44"/>
      <c r="P4" s="44"/>
      <c r="Q4" s="44"/>
      <c r="R4" s="44"/>
      <c r="S4" s="44"/>
      <c r="T4" s="44"/>
      <c r="U4" s="44"/>
      <c r="V4" s="44"/>
    </row>
    <row r="5" spans="1:22">
      <c r="A5" t="s">
        <v>133</v>
      </c>
      <c r="B5" s="16" t="s">
        <v>130</v>
      </c>
      <c r="C5" s="16" t="e">
        <f>(#REF!&amp;" "&amp;#REF!)</f>
        <v>#REF!</v>
      </c>
    </row>
    <row r="6" spans="1:22">
      <c r="A6" t="s">
        <v>918</v>
      </c>
      <c r="B6" s="16" t="s">
        <v>130</v>
      </c>
      <c r="C6" s="16" t="e">
        <f>(#REF!&amp;" "&amp;#REF!)</f>
        <v>#REF!</v>
      </c>
    </row>
    <row r="7" spans="1:22">
      <c r="A7" t="s">
        <v>919</v>
      </c>
      <c r="B7" s="16" t="s">
        <v>130</v>
      </c>
      <c r="C7" s="16" t="e">
        <f>(#REF!&amp;" "&amp;#REF!)</f>
        <v>#REF!</v>
      </c>
    </row>
    <row r="8" spans="1:22">
      <c r="A8" t="s">
        <v>920</v>
      </c>
      <c r="B8" s="16" t="s">
        <v>130</v>
      </c>
      <c r="C8" s="16" t="e">
        <f>(#REF!&amp;" "&amp;#REF!)</f>
        <v>#REF!</v>
      </c>
    </row>
    <row r="9" spans="1:22">
      <c r="A9" t="s">
        <v>905</v>
      </c>
      <c r="B9" s="16" t="s">
        <v>130</v>
      </c>
      <c r="C9" s="16" t="e">
        <f>(#REF!&amp;" "&amp;#REF!)</f>
        <v>#REF!</v>
      </c>
    </row>
    <row r="10" spans="1:22">
      <c r="A10" t="s">
        <v>906</v>
      </c>
      <c r="B10" s="16" t="s">
        <v>130</v>
      </c>
      <c r="C10" s="16" t="e">
        <f>(#REF!&amp;" "&amp;#REF!)</f>
        <v>#REF!</v>
      </c>
    </row>
    <row r="11" spans="1:22">
      <c r="A11" t="s">
        <v>220</v>
      </c>
      <c r="B11" s="122" t="s">
        <v>922</v>
      </c>
    </row>
    <row r="12" spans="1:22">
      <c r="A12" t="s">
        <v>921</v>
      </c>
      <c r="B12" s="16" t="s">
        <v>130</v>
      </c>
      <c r="C12" s="16" t="e">
        <f>(#REF!&amp;" "&amp;#REF!)</f>
        <v>#REF!</v>
      </c>
    </row>
    <row r="13" spans="1:22" ht="15.75">
      <c r="A13" t="s">
        <v>189</v>
      </c>
      <c r="B13" s="16" t="s">
        <v>130</v>
      </c>
      <c r="C13" s="555" t="e">
        <f>(#REF!&amp;" "&amp;#REF!)</f>
        <v>#REF!</v>
      </c>
    </row>
    <row r="14" spans="1:22">
      <c r="A14" t="s">
        <v>190</v>
      </c>
      <c r="B14" s="16" t="s">
        <v>130</v>
      </c>
      <c r="C14" s="16" t="e">
        <f>(#REF!&amp;" "&amp;#REF!)</f>
        <v>#REF!</v>
      </c>
    </row>
    <row r="15" spans="1:22">
      <c r="A15" t="s">
        <v>877</v>
      </c>
      <c r="B15" s="16" t="s">
        <v>130</v>
      </c>
      <c r="C15" s="16" t="e">
        <f>(#REF!&amp;" "&amp;#REF!)</f>
        <v>#REF!</v>
      </c>
    </row>
    <row r="16" spans="1:22">
      <c r="A16" t="s">
        <v>907</v>
      </c>
      <c r="B16" s="16" t="s">
        <v>130</v>
      </c>
      <c r="C16" s="16" t="e">
        <f>(#REF!&amp;" "&amp;#REF!)</f>
        <v>#REF!</v>
      </c>
    </row>
    <row r="17" spans="1:3">
      <c r="A17" t="s">
        <v>908</v>
      </c>
      <c r="B17" s="122" t="s">
        <v>922</v>
      </c>
    </row>
    <row r="18" spans="1:3">
      <c r="A18" t="s">
        <v>909</v>
      </c>
      <c r="B18" s="122" t="s">
        <v>922</v>
      </c>
    </row>
    <row r="19" spans="1:3">
      <c r="A19" t="s">
        <v>910</v>
      </c>
      <c r="B19" s="122" t="s">
        <v>922</v>
      </c>
    </row>
    <row r="20" spans="1:3">
      <c r="A20" t="s">
        <v>911</v>
      </c>
      <c r="B20" s="122" t="s">
        <v>922</v>
      </c>
    </row>
    <row r="21" spans="1:3">
      <c r="A21" t="s">
        <v>223</v>
      </c>
      <c r="B21" s="159" t="s">
        <v>130</v>
      </c>
      <c r="C21" s="16" t="e">
        <f>(#REF!&amp;" "&amp;#REF!)</f>
        <v>#REF!</v>
      </c>
    </row>
    <row r="22" spans="1:3">
      <c r="A22" t="s">
        <v>224</v>
      </c>
      <c r="B22" s="159" t="s">
        <v>130</v>
      </c>
      <c r="C22" s="16" t="e">
        <f>(#REF!&amp;" "&amp;#REF!)</f>
        <v>#REF!</v>
      </c>
    </row>
    <row r="23" spans="1:3">
      <c r="A23" t="s">
        <v>231</v>
      </c>
      <c r="B23" s="159" t="s">
        <v>130</v>
      </c>
      <c r="C23" s="16" t="e">
        <f>(#REF!&amp;" "&amp;#REF!)</f>
        <v>#REF!</v>
      </c>
    </row>
    <row r="24" spans="1:3">
      <c r="A24" t="s">
        <v>912</v>
      </c>
      <c r="B24" s="122" t="s">
        <v>922</v>
      </c>
    </row>
    <row r="25" spans="1:3">
      <c r="A25" t="s">
        <v>913</v>
      </c>
      <c r="B25" s="122" t="s">
        <v>922</v>
      </c>
    </row>
    <row r="26" spans="1:3">
      <c r="A26" t="s">
        <v>914</v>
      </c>
      <c r="B26" s="122" t="s">
        <v>922</v>
      </c>
    </row>
    <row r="27" spans="1:3">
      <c r="A27" t="s">
        <v>915</v>
      </c>
      <c r="B27" s="122" t="s">
        <v>922</v>
      </c>
    </row>
    <row r="28" spans="1:3">
      <c r="A28" t="s">
        <v>916</v>
      </c>
      <c r="B28" s="122" t="s">
        <v>922</v>
      </c>
    </row>
    <row r="29" spans="1:3">
      <c r="A29" t="s">
        <v>917</v>
      </c>
      <c r="B29" s="122" t="s">
        <v>922</v>
      </c>
    </row>
    <row r="30" spans="1:3">
      <c r="A30" t="s">
        <v>923</v>
      </c>
      <c r="B30" s="122" t="s">
        <v>922</v>
      </c>
    </row>
    <row r="31" spans="1:3">
      <c r="A31" t="s">
        <v>924</v>
      </c>
      <c r="B31" s="122" t="s">
        <v>922</v>
      </c>
    </row>
    <row r="32" spans="1:3">
      <c r="A32" t="s">
        <v>925</v>
      </c>
      <c r="B32" s="122" t="s">
        <v>922</v>
      </c>
    </row>
    <row r="33" spans="1:2">
      <c r="A33" t="s">
        <v>926</v>
      </c>
      <c r="B33" s="122" t="s">
        <v>922</v>
      </c>
    </row>
    <row r="34" spans="1:2">
      <c r="A34" t="s">
        <v>927</v>
      </c>
      <c r="B34" s="122" t="s">
        <v>922</v>
      </c>
    </row>
    <row r="35" spans="1:2">
      <c r="A35" t="s">
        <v>928</v>
      </c>
      <c r="B35" s="122" t="s">
        <v>922</v>
      </c>
    </row>
  </sheetData>
  <sheetProtection password="D057" sheet="1" objects="1" scenarios="1"/>
  <mergeCells count="1">
    <mergeCell ref="A1:C1"/>
  </mergeCells>
  <phoneticPr fontId="17" type="noConversion"/>
  <printOptions gridLines="1"/>
  <pageMargins left="0.5" right="0.5" top="0.5" bottom="0.5" header="0.5" footer="0.25"/>
  <pageSetup orientation="portrait" horizontalDpi="300" verticalDpi="300" r:id="rId1"/>
  <headerFooter alignWithMargins="0">
    <oddFooter>&amp;R&amp;F, Version:  7/11/2007</oddFooter>
  </headerFooter>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Q2"/>
  <sheetViews>
    <sheetView workbookViewId="0">
      <selection activeCell="O2" sqref="O2"/>
    </sheetView>
  </sheetViews>
  <sheetFormatPr defaultRowHeight="12.75"/>
  <cols>
    <col min="4" max="4" width="10.7109375" customWidth="1"/>
    <col min="5" max="5" width="10.5703125" customWidth="1"/>
    <col min="14" max="14" width="10.42578125" customWidth="1"/>
    <col min="15" max="16" width="9.7109375" customWidth="1"/>
    <col min="23" max="25" width="10.85546875" customWidth="1"/>
    <col min="26" max="42" width="12.5703125" customWidth="1"/>
    <col min="43" max="43" width="10.140625" customWidth="1"/>
  </cols>
  <sheetData>
    <row r="1" spans="1:43" s="675" customFormat="1" ht="63.75">
      <c r="A1" s="807" t="s">
        <v>1006</v>
      </c>
      <c r="B1" s="808" t="s">
        <v>1007</v>
      </c>
      <c r="C1" s="808" t="s">
        <v>1008</v>
      </c>
      <c r="D1" s="808" t="s">
        <v>1023</v>
      </c>
      <c r="E1" s="808" t="s">
        <v>1024</v>
      </c>
      <c r="F1" s="808" t="s">
        <v>1009</v>
      </c>
      <c r="G1" s="808" t="s">
        <v>1010</v>
      </c>
      <c r="H1" s="807" t="s">
        <v>1011</v>
      </c>
      <c r="I1" s="807" t="s">
        <v>601</v>
      </c>
      <c r="J1" s="807" t="s">
        <v>1012</v>
      </c>
      <c r="K1" s="807" t="s">
        <v>562</v>
      </c>
      <c r="L1" s="807" t="s">
        <v>630</v>
      </c>
      <c r="M1" s="809" t="s">
        <v>1013</v>
      </c>
      <c r="N1" s="807" t="s">
        <v>1014</v>
      </c>
      <c r="O1" s="810" t="s">
        <v>1021</v>
      </c>
      <c r="P1" s="810" t="s">
        <v>1022</v>
      </c>
      <c r="Q1" s="811" t="s">
        <v>1015</v>
      </c>
      <c r="R1" s="811" t="s">
        <v>1017</v>
      </c>
      <c r="S1" s="811" t="s">
        <v>1016</v>
      </c>
      <c r="T1" s="811" t="s">
        <v>1018</v>
      </c>
      <c r="U1" s="811" t="s">
        <v>1019</v>
      </c>
      <c r="V1" s="812" t="s">
        <v>1020</v>
      </c>
      <c r="W1" s="811" t="s">
        <v>1030</v>
      </c>
      <c r="X1" s="811" t="s">
        <v>1030</v>
      </c>
      <c r="Y1" s="811" t="s">
        <v>401</v>
      </c>
      <c r="Z1" s="811" t="s">
        <v>1031</v>
      </c>
      <c r="AA1" s="811" t="s">
        <v>1045</v>
      </c>
      <c r="AB1" s="811" t="s">
        <v>1046</v>
      </c>
      <c r="AC1" s="811" t="s">
        <v>1032</v>
      </c>
      <c r="AD1" s="811" t="s">
        <v>1033</v>
      </c>
      <c r="AE1" s="811" t="s">
        <v>1034</v>
      </c>
      <c r="AF1" s="811" t="s">
        <v>1035</v>
      </c>
      <c r="AG1" s="811" t="s">
        <v>1036</v>
      </c>
      <c r="AH1" s="811" t="s">
        <v>1037</v>
      </c>
      <c r="AI1" s="811" t="s">
        <v>1038</v>
      </c>
      <c r="AJ1" s="811" t="s">
        <v>1039</v>
      </c>
      <c r="AK1" s="811" t="s">
        <v>1040</v>
      </c>
      <c r="AL1" s="811">
        <f>'General '!AC30</f>
        <v>0</v>
      </c>
      <c r="AM1" s="811" t="s">
        <v>1041</v>
      </c>
      <c r="AN1" s="811" t="s">
        <v>1042</v>
      </c>
      <c r="AO1" s="811" t="s">
        <v>1043</v>
      </c>
      <c r="AP1" s="811" t="s">
        <v>1044</v>
      </c>
      <c r="AQ1" s="811" t="s">
        <v>217</v>
      </c>
    </row>
    <row r="2" spans="1:43">
      <c r="A2">
        <f>'General '!A45</f>
        <v>0</v>
      </c>
      <c r="B2" t="e">
        <f>#REF!</f>
        <v>#REF!</v>
      </c>
      <c r="C2" t="e">
        <f>#REF!</f>
        <v>#REF!</v>
      </c>
      <c r="D2" t="e">
        <f>#REF!</f>
        <v>#REF!</v>
      </c>
      <c r="E2" t="e">
        <f>#REF!</f>
        <v>#REF!</v>
      </c>
      <c r="F2" t="e">
        <f>#REF!</f>
        <v>#REF!</v>
      </c>
      <c r="G2" t="e">
        <f>#REF!</f>
        <v>#REF!</v>
      </c>
      <c r="H2">
        <f>'General '!N45</f>
        <v>0</v>
      </c>
      <c r="I2">
        <f>'General '!Y45</f>
        <v>0</v>
      </c>
      <c r="J2">
        <f>'General '!AE45</f>
        <v>0</v>
      </c>
      <c r="K2">
        <f>'General '!AI45</f>
        <v>0</v>
      </c>
      <c r="L2">
        <f>'Site &amp; Units'!A7</f>
        <v>0</v>
      </c>
      <c r="M2">
        <f>'General '!A51</f>
        <v>0</v>
      </c>
      <c r="N2" s="409">
        <f>'Dev Budget'!B110</f>
        <v>0</v>
      </c>
      <c r="O2" s="800">
        <f>'Cash Flow'!D43</f>
        <v>0</v>
      </c>
      <c r="P2" s="813">
        <f>'Cash Flow'!D60</f>
        <v>0</v>
      </c>
      <c r="Q2">
        <f>Subsidies!F13</f>
        <v>0</v>
      </c>
      <c r="R2" s="814">
        <f>Subsidies!F111</f>
        <v>0</v>
      </c>
      <c r="S2">
        <f>Subsidies!G112</f>
        <v>0</v>
      </c>
      <c r="T2">
        <f>Subsidies!K13</f>
        <v>0</v>
      </c>
      <c r="U2" s="814">
        <f>Subsidies!K111</f>
        <v>0</v>
      </c>
      <c r="V2">
        <f>Subsidies!L112</f>
        <v>0</v>
      </c>
      <c r="W2" s="800">
        <f>'General '!A53</f>
        <v>0</v>
      </c>
      <c r="X2" s="800">
        <f>'Site &amp; Units'!Z38</f>
        <v>0</v>
      </c>
      <c r="Y2" s="800">
        <f>'Rents '!D125</f>
        <v>0</v>
      </c>
      <c r="Z2">
        <f>'General '!A55</f>
        <v>0</v>
      </c>
      <c r="AA2" s="409">
        <f>'Operating '!D110</f>
        <v>0</v>
      </c>
      <c r="AB2" s="409">
        <f>'Operating '!E110</f>
        <v>0</v>
      </c>
      <c r="AC2">
        <f>'General '!AN17</f>
        <v>0</v>
      </c>
      <c r="AD2">
        <f>'General '!AK18</f>
        <v>0</v>
      </c>
      <c r="AE2">
        <f>'General '!AH23</f>
        <v>0</v>
      </c>
      <c r="AF2">
        <f>'General '!AH24</f>
        <v>0</v>
      </c>
      <c r="AG2">
        <f>'General '!AH25</f>
        <v>0</v>
      </c>
      <c r="AH2">
        <f>'General '!AH26</f>
        <v>0</v>
      </c>
      <c r="AI2">
        <f>'General '!AH27</f>
        <v>0</v>
      </c>
      <c r="AJ2">
        <f>'General '!AH28</f>
        <v>0</v>
      </c>
      <c r="AK2">
        <f>'General '!AH29</f>
        <v>0</v>
      </c>
      <c r="AL2">
        <f>'General '!AH30</f>
        <v>0</v>
      </c>
      <c r="AM2">
        <f>'General '!AH36</f>
        <v>0</v>
      </c>
      <c r="AN2">
        <f>'General '!AH37</f>
        <v>0</v>
      </c>
      <c r="AO2">
        <f>'General '!AH41</f>
        <v>0</v>
      </c>
      <c r="AP2">
        <f>'General '!AH42</f>
        <v>0</v>
      </c>
      <c r="AQ2" t="e">
        <f>#REF!</f>
        <v>#REF!</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75</vt:i4>
      </vt:variant>
    </vt:vector>
  </HeadingPairs>
  <TitlesOfParts>
    <vt:vector size="99" baseType="lpstr">
      <vt:lpstr>Instructions</vt:lpstr>
      <vt:lpstr>General </vt:lpstr>
      <vt:lpstr>Narrative </vt:lpstr>
      <vt:lpstr>Site &amp; Units</vt:lpstr>
      <vt:lpstr>Misc.</vt:lpstr>
      <vt:lpstr>Rents </vt:lpstr>
      <vt:lpstr>NPLH Rents</vt:lpstr>
      <vt:lpstr>HHC Rents</vt:lpstr>
      <vt:lpstr>Subsidies</vt:lpstr>
      <vt:lpstr>Dev Sources</vt:lpstr>
      <vt:lpstr>Dev Budget</vt:lpstr>
      <vt:lpstr>Developer Fee</vt:lpstr>
      <vt:lpstr>TBL and High Cost Test</vt:lpstr>
      <vt:lpstr>Supportive Services Costs</vt:lpstr>
      <vt:lpstr>Operating </vt:lpstr>
      <vt:lpstr>Cash Flow</vt:lpstr>
      <vt:lpstr>NPLH COSR Calculation</vt:lpstr>
      <vt:lpstr>Income Limits</vt:lpstr>
      <vt:lpstr>HHC COSR Calculation</vt:lpstr>
      <vt:lpstr>HHC COSR PU Amounts</vt:lpstr>
      <vt:lpstr>Narrative-Concat.</vt:lpstr>
      <vt:lpstr>Drop Down</vt:lpstr>
      <vt:lpstr>Contact Names Formula</vt:lpstr>
      <vt:lpstr>MAPPING</vt:lpstr>
      <vt:lpstr>Access_Road_Maintenance</vt:lpstr>
      <vt:lpstr>Applicant_Role</vt:lpstr>
      <vt:lpstr>AssemblyDistrictCode</vt:lpstr>
      <vt:lpstr>Beds</vt:lpstr>
      <vt:lpstr>CalHFA_Application_Type</vt:lpstr>
      <vt:lpstr>CalHFArents</vt:lpstr>
      <vt:lpstr>CongressionalDistrictCode</vt:lpstr>
      <vt:lpstr>County</vt:lpstr>
      <vt:lpstr>CountyTBL</vt:lpstr>
      <vt:lpstr>Development__Type</vt:lpstr>
      <vt:lpstr>Fed_Min_Set</vt:lpstr>
      <vt:lpstr>FORM_OF_ENTITY</vt:lpstr>
      <vt:lpstr>HCD_Funding</vt:lpstr>
      <vt:lpstr>Income_Limit</vt:lpstr>
      <vt:lpstr>Interest_Rate_Type</vt:lpstr>
      <vt:lpstr>Layout</vt:lpstr>
      <vt:lpstr>Lease_Terms</vt:lpstr>
      <vt:lpstr>MgrUnits</vt:lpstr>
      <vt:lpstr>Multiple_Parcels?</vt:lpstr>
      <vt:lpstr>Occupancy</vt:lpstr>
      <vt:lpstr>Otherrents</vt:lpstr>
      <vt:lpstr>Owner_or_Tenant_paid_utilities</vt:lpstr>
      <vt:lpstr>Partner_or_Member_Role</vt:lpstr>
      <vt:lpstr>PermSourceAmounts</vt:lpstr>
      <vt:lpstr>PermSourceNames</vt:lpstr>
      <vt:lpstr>PermSourceNumbers</vt:lpstr>
      <vt:lpstr>Pool</vt:lpstr>
      <vt:lpstr>'Cash Flow'!Print_Area</vt:lpstr>
      <vt:lpstr>'Dev Budget'!Print_Area</vt:lpstr>
      <vt:lpstr>'Dev Sources'!Print_Area</vt:lpstr>
      <vt:lpstr>'Drop Down'!Print_Area</vt:lpstr>
      <vt:lpstr>'General '!Print_Area</vt:lpstr>
      <vt:lpstr>'HHC Rents'!Print_Area</vt:lpstr>
      <vt:lpstr>Instructions!Print_Area</vt:lpstr>
      <vt:lpstr>Misc.!Print_Area</vt:lpstr>
      <vt:lpstr>'Narrative '!Print_Area</vt:lpstr>
      <vt:lpstr>'Narrative-Concat.'!Print_Area</vt:lpstr>
      <vt:lpstr>'NPLH Rents'!Print_Area</vt:lpstr>
      <vt:lpstr>'Operating '!Print_Area</vt:lpstr>
      <vt:lpstr>'Rents '!Print_Area</vt:lpstr>
      <vt:lpstr>'Site &amp; Units'!Print_Area</vt:lpstr>
      <vt:lpstr>Subsidies!Print_Area</vt:lpstr>
      <vt:lpstr>'Supportive Services Costs'!Print_Area</vt:lpstr>
      <vt:lpstr>'TBL and High Cost Test'!Print_Area</vt:lpstr>
      <vt:lpstr>'Cash Flow'!Print_Titles</vt:lpstr>
      <vt:lpstr>'Dev Budget'!Print_Titles</vt:lpstr>
      <vt:lpstr>'Dev Sources'!Print_Titles</vt:lpstr>
      <vt:lpstr>'General '!Print_Titles</vt:lpstr>
      <vt:lpstr>Misc.!Print_Titles</vt:lpstr>
      <vt:lpstr>'Operating '!Print_Titles</vt:lpstr>
      <vt:lpstr>'Rents '!Print_Titles</vt:lpstr>
      <vt:lpstr>'Site &amp; Units'!Print_Titles</vt:lpstr>
      <vt:lpstr>Subsidies!Print_Titles</vt:lpstr>
      <vt:lpstr>ProjectCredits</vt:lpstr>
      <vt:lpstr>ProjectPhase</vt:lpstr>
      <vt:lpstr>ProjectType</vt:lpstr>
      <vt:lpstr>Relocation_Req_d?</vt:lpstr>
      <vt:lpstr>Rent_Limit</vt:lpstr>
      <vt:lpstr>Repayment_Terms_Type</vt:lpstr>
      <vt:lpstr>Required_Payment</vt:lpstr>
      <vt:lpstr>SenateDistrictCode</vt:lpstr>
      <vt:lpstr>Site_Control</vt:lpstr>
      <vt:lpstr>State_Set_Aside</vt:lpstr>
      <vt:lpstr>TblData</vt:lpstr>
      <vt:lpstr>TCAC_Application_Type</vt:lpstr>
      <vt:lpstr>TCAC_Geographical_Area</vt:lpstr>
      <vt:lpstr>TCAC_Housing_Type</vt:lpstr>
      <vt:lpstr>TCAC_Type_Housing</vt:lpstr>
      <vt:lpstr>TCACrents</vt:lpstr>
      <vt:lpstr>Tenure_Type</vt:lpstr>
      <vt:lpstr>TotalUnits</vt:lpstr>
      <vt:lpstr>Type_of_Utility</vt:lpstr>
      <vt:lpstr>Type_of_Utility_2</vt:lpstr>
      <vt:lpstr>Unit_Size</vt:lpstr>
      <vt:lpstr>Yes_No</vt:lpstr>
    </vt:vector>
  </TitlesOfParts>
  <Company>California Housing Finance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 Rodine</dc:creator>
  <cp:lastModifiedBy>George Rodine</cp:lastModifiedBy>
  <cp:lastPrinted>2019-05-08T21:18:35Z</cp:lastPrinted>
  <dcterms:created xsi:type="dcterms:W3CDTF">2005-01-12T19:18:16Z</dcterms:created>
  <dcterms:modified xsi:type="dcterms:W3CDTF">2019-05-08T21:23:14Z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chemaType">
    <vt:lpwstr>CMODeals</vt:lpwstr>
  </property>
  <property fmtid="{D5CDD505-2E9C-101B-9397-08002B2CF9AE}" pid="3" name="LastLookupTableColumn">
    <vt:lpwstr>I</vt:lpwstr>
  </property>
</Properties>
</file>