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5.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omments6.xml" ContentType="application/vnd.openxmlformats-officedocument.spreadsheetml.comment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7.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codeName="ThisWorkbook" defaultThemeVersion="124226"/>
  <mc:AlternateContent xmlns:mc="http://schemas.openxmlformats.org/markup-compatibility/2006">
    <mc:Choice Requires="x15">
      <x15ac:absPath xmlns:x15ac="http://schemas.microsoft.com/office/spreadsheetml/2010/11/ac" url="https://cahcd-my.sharepoint.com/personal/stephenie_alstrom_hcd_ca_gov/Documents/Documents/AB 2006/AB 2006 Budgets &amp; Reserves/Combined Operating Budget Final/"/>
    </mc:Choice>
  </mc:AlternateContent>
  <xr:revisionPtr revIDLastSave="0" documentId="8_{F2C1425D-1B7F-4E67-BA25-7FFB35BCC1D8}" xr6:coauthVersionLast="47" xr6:coauthVersionMax="47" xr10:uidLastSave="{00000000-0000-0000-0000-000000000000}"/>
  <bookViews>
    <workbookView xWindow="-28920" yWindow="-120" windowWidth="29040" windowHeight="15840" tabRatio="878" xr2:uid="{00000000-000D-0000-FFFF-FFFF00000000}"/>
  </bookViews>
  <sheets>
    <sheet name="1. Operating Budget Instruction" sheetId="18" r:id="rId1"/>
    <sheet name=" 2. Checklist and Cert - 170" sheetId="14" r:id="rId2"/>
    <sheet name="3. Proposed Cash Flow -171" sheetId="2" r:id="rId3"/>
    <sheet name="4. Proposed Cost of Ops - 172" sheetId="1" r:id="rId4"/>
    <sheet name="5. Approved Cash Flow - 173" sheetId="5" r:id="rId5"/>
    <sheet name="6. Approved Cost of Ops - 174 " sheetId="3" r:id="rId6"/>
    <sheet name="7. Approved Proration - 175" sheetId="4" r:id="rId7"/>
    <sheet name="8. Actual Cash Flow-180" sheetId="16" r:id="rId8"/>
    <sheet name="9. Actual Cost of Ops-181" sheetId="17" r:id="rId9"/>
  </sheets>
  <definedNames>
    <definedName name="Contract" localSheetId="0">'1. Operating Budget Instruction'!#REF!,'1. Operating Budget Instruction'!#REF!,'1. Operating Budget Instruction'!#REF!</definedName>
    <definedName name="Contract">' 2. Checklist and Cert - 170'!$D$5,' 2. Checklist and Cert - 170'!$D$6,' 2. Checklist and Cert - 170'!$D$7</definedName>
    <definedName name="ContractNumber" localSheetId="0">'1. Operating Budget Instruction'!#REF!</definedName>
    <definedName name="ContractNumber">' 2. Checklist and Cert - 170'!$D$5:$G$7</definedName>
    <definedName name="_xlnm.Print_Area" localSheetId="1">' 2. Checklist and Cert - 170'!$A$1:$L$39</definedName>
    <definedName name="_xlnm.Print_Area" localSheetId="0">'1. Operating Budget Instruction'!$A$1:$L$36</definedName>
    <definedName name="_xlnm.Print_Area" localSheetId="2">'3. Proposed Cash Flow -171'!$A$1:$M$107</definedName>
    <definedName name="_xlnm.Print_Area" localSheetId="3">'4. Proposed Cost of Ops - 172'!$A$1:$N$124</definedName>
    <definedName name="_xlnm.Print_Area" localSheetId="4">'5. Approved Cash Flow - 173'!$A$1:$L$71</definedName>
    <definedName name="_xlnm.Print_Area" localSheetId="5">'6. Approved Cost of Ops - 174 '!$A$1:$I$64</definedName>
    <definedName name="_xlnm.Print_Area" localSheetId="6">'7. Approved Proration - 175'!$A$1:$L$65</definedName>
    <definedName name="_xlnm.Print_Area" localSheetId="7">'8. Actual Cash Flow-180'!$A$1:$O$69</definedName>
    <definedName name="_xlnm.Print_Area" localSheetId="8">'9. Actual Cost of Ops-181'!$A$1:$P$124</definedName>
    <definedName name="_xlnm.Print_Titles" localSheetId="3">'4. Proposed Cost of Ops - 172'!$1:$7</definedName>
    <definedName name="_xlnm.Print_Titles" localSheetId="7">'8. Actual Cash Flow-180'!$1:$5</definedName>
    <definedName name="_xlnm.Print_Titles" localSheetId="8">'9. Actual Cost of Ops-181'!$1:$6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5" l="1"/>
  <c r="J34" i="5"/>
  <c r="J31" i="5"/>
  <c r="J30" i="5"/>
  <c r="J28" i="5"/>
  <c r="J25" i="5"/>
  <c r="J24" i="5"/>
  <c r="J23" i="5"/>
  <c r="J17" i="5"/>
  <c r="J16" i="5"/>
  <c r="J15" i="5"/>
  <c r="J14" i="5"/>
  <c r="H20" i="5"/>
  <c r="H24" i="5"/>
  <c r="H23" i="5"/>
  <c r="H15" i="5"/>
  <c r="H25" i="5"/>
  <c r="F20" i="5"/>
  <c r="H17" i="5"/>
  <c r="H16" i="5"/>
  <c r="H13" i="5"/>
  <c r="H12" i="5"/>
  <c r="F17" i="5"/>
  <c r="F16" i="5"/>
  <c r="F15" i="5"/>
  <c r="F13" i="5"/>
  <c r="F12" i="5"/>
  <c r="H21" i="2"/>
  <c r="G20" i="2"/>
  <c r="F20" i="2"/>
  <c r="M2" i="2" l="1"/>
  <c r="N2" i="1"/>
  <c r="M4" i="2" l="1"/>
  <c r="M5" i="2"/>
  <c r="N4" i="1"/>
  <c r="N5" i="1"/>
  <c r="L24" i="1" l="1"/>
  <c r="M24" i="1" s="1"/>
  <c r="K19" i="2"/>
  <c r="M3" i="2"/>
  <c r="N3" i="1"/>
  <c r="E3" i="2"/>
  <c r="J68" i="2"/>
  <c r="K68" i="2" s="1"/>
  <c r="L68" i="2" s="1"/>
  <c r="J67" i="2"/>
  <c r="K67" i="2" s="1"/>
  <c r="L67" i="2" s="1"/>
  <c r="J66" i="2"/>
  <c r="K66" i="2" s="1"/>
  <c r="L66" i="2" s="1"/>
  <c r="J65" i="2"/>
  <c r="K65" i="2" s="1"/>
  <c r="L65" i="2" s="1"/>
  <c r="J64" i="2"/>
  <c r="K64" i="2" s="1"/>
  <c r="L64" i="2" s="1"/>
  <c r="J63" i="2"/>
  <c r="K63" i="2" s="1"/>
  <c r="L63" i="2" s="1"/>
  <c r="J60" i="2"/>
  <c r="K60" i="2" s="1"/>
  <c r="L60" i="2" s="1"/>
  <c r="J59" i="2"/>
  <c r="K59" i="2" s="1"/>
  <c r="L59" i="2" s="1"/>
  <c r="J58" i="2"/>
  <c r="K58" i="2" s="1"/>
  <c r="L58" i="2" s="1"/>
  <c r="J57" i="2"/>
  <c r="K57" i="2" s="1"/>
  <c r="L57" i="2" s="1"/>
  <c r="J53" i="2"/>
  <c r="K53" i="2" s="1"/>
  <c r="L53" i="2" s="1"/>
  <c r="J52" i="2"/>
  <c r="K52" i="2" s="1"/>
  <c r="L52" i="2" s="1"/>
  <c r="J51" i="2"/>
  <c r="K51" i="2" s="1"/>
  <c r="L51" i="2" s="1"/>
  <c r="J50" i="2"/>
  <c r="K50" i="2" s="1"/>
  <c r="L50" i="2" s="1"/>
  <c r="J49" i="2"/>
  <c r="K49" i="2" s="1"/>
  <c r="L49" i="2" s="1"/>
  <c r="J46" i="2"/>
  <c r="J45" i="2"/>
  <c r="K45" i="2" s="1"/>
  <c r="L45" i="2" s="1"/>
  <c r="J44" i="2"/>
  <c r="K44" i="2" s="1"/>
  <c r="L44" i="2" s="1"/>
  <c r="J43" i="2"/>
  <c r="K43" i="2" s="1"/>
  <c r="L43" i="2" s="1"/>
  <c r="J42" i="2"/>
  <c r="K42" i="2" s="1"/>
  <c r="L42" i="2" s="1"/>
  <c r="J41" i="2"/>
  <c r="K41" i="2" s="1"/>
  <c r="L41" i="2" s="1"/>
  <c r="J35" i="2"/>
  <c r="J34" i="2"/>
  <c r="K34" i="2" s="1"/>
  <c r="L34" i="2" s="1"/>
  <c r="J33" i="2"/>
  <c r="K33" i="2" s="1"/>
  <c r="L33" i="2" s="1"/>
  <c r="J30" i="2"/>
  <c r="J29" i="2"/>
  <c r="K29" i="2" s="1"/>
  <c r="L29" i="2" s="1"/>
  <c r="J27" i="2"/>
  <c r="J24" i="2"/>
  <c r="J23" i="2"/>
  <c r="J22" i="2"/>
  <c r="J21" i="2"/>
  <c r="J20" i="2"/>
  <c r="J16" i="2"/>
  <c r="J15" i="2"/>
  <c r="J14" i="2"/>
  <c r="J13" i="2"/>
  <c r="J12" i="2"/>
  <c r="J11" i="2"/>
  <c r="K62" i="1"/>
  <c r="K61" i="1"/>
  <c r="L61" i="1" s="1"/>
  <c r="M61" i="1" s="1"/>
  <c r="K60" i="1"/>
  <c r="L60" i="1" s="1"/>
  <c r="M60" i="1" s="1"/>
  <c r="K59" i="1"/>
  <c r="L59" i="1" s="1"/>
  <c r="M59" i="1" s="1"/>
  <c r="K58" i="1"/>
  <c r="L58" i="1" s="1"/>
  <c r="M58" i="1" s="1"/>
  <c r="K55" i="1"/>
  <c r="K54" i="1"/>
  <c r="L54" i="1" s="1"/>
  <c r="M54" i="1" s="1"/>
  <c r="K53" i="1"/>
  <c r="L53" i="1" s="1"/>
  <c r="M53" i="1" s="1"/>
  <c r="K52" i="1"/>
  <c r="L52" i="1" s="1"/>
  <c r="M52" i="1" s="1"/>
  <c r="K51" i="1"/>
  <c r="L51" i="1" s="1"/>
  <c r="M51" i="1" s="1"/>
  <c r="K50" i="1"/>
  <c r="L50" i="1" s="1"/>
  <c r="M50" i="1" s="1"/>
  <c r="K49" i="1"/>
  <c r="L49" i="1" s="1"/>
  <c r="M49" i="1" s="1"/>
  <c r="K46" i="1"/>
  <c r="K45" i="1"/>
  <c r="L45" i="1" s="1"/>
  <c r="M45" i="1" s="1"/>
  <c r="K44" i="1"/>
  <c r="L44" i="1" s="1"/>
  <c r="M44" i="1" s="1"/>
  <c r="K43" i="1"/>
  <c r="L43" i="1" s="1"/>
  <c r="M43" i="1" s="1"/>
  <c r="K42" i="1"/>
  <c r="L42" i="1" s="1"/>
  <c r="M42" i="1" s="1"/>
  <c r="K41" i="1"/>
  <c r="L41" i="1" s="1"/>
  <c r="M41" i="1" s="1"/>
  <c r="K40" i="1"/>
  <c r="L40" i="1" s="1"/>
  <c r="M40" i="1" s="1"/>
  <c r="K39" i="1"/>
  <c r="L39" i="1" s="1"/>
  <c r="M39" i="1" s="1"/>
  <c r="K38" i="1"/>
  <c r="L38" i="1" s="1"/>
  <c r="M38" i="1" s="1"/>
  <c r="K37" i="1"/>
  <c r="L37" i="1" s="1"/>
  <c r="M37" i="1" s="1"/>
  <c r="K36" i="1"/>
  <c r="L36" i="1" s="1"/>
  <c r="M36" i="1" s="1"/>
  <c r="K35" i="1"/>
  <c r="L35" i="1" s="1"/>
  <c r="M35" i="1" s="1"/>
  <c r="K32" i="1"/>
  <c r="L32" i="1" s="1"/>
  <c r="M32" i="1" s="1"/>
  <c r="K31" i="1"/>
  <c r="L31" i="1" s="1"/>
  <c r="M31" i="1" s="1"/>
  <c r="K30" i="1"/>
  <c r="L30" i="1" s="1"/>
  <c r="M30" i="1" s="1"/>
  <c r="K29" i="1"/>
  <c r="L29" i="1" s="1"/>
  <c r="M29" i="1" s="1"/>
  <c r="K26" i="1"/>
  <c r="K25" i="1"/>
  <c r="L25" i="1" s="1"/>
  <c r="M25" i="1" s="1"/>
  <c r="K24" i="1"/>
  <c r="K23" i="1"/>
  <c r="L23" i="1" s="1"/>
  <c r="M23" i="1" s="1"/>
  <c r="K22" i="1"/>
  <c r="L22" i="1" s="1"/>
  <c r="M22" i="1" s="1"/>
  <c r="K21" i="1"/>
  <c r="L21" i="1" s="1"/>
  <c r="M21" i="1" s="1"/>
  <c r="K20" i="1"/>
  <c r="L20" i="1" s="1"/>
  <c r="M20" i="1" s="1"/>
  <c r="K19" i="1"/>
  <c r="L19" i="1" s="1"/>
  <c r="M19" i="1" s="1"/>
  <c r="K18" i="1"/>
  <c r="L18" i="1" s="1"/>
  <c r="M18" i="1" s="1"/>
  <c r="K17" i="1"/>
  <c r="L17" i="1" s="1"/>
  <c r="M17" i="1" s="1"/>
  <c r="K16" i="1"/>
  <c r="L16" i="1" s="1"/>
  <c r="M16" i="1" s="1"/>
  <c r="K15" i="1"/>
  <c r="L15" i="1" s="1"/>
  <c r="M15" i="1" s="1"/>
  <c r="K14" i="1"/>
  <c r="L14" i="1" s="1"/>
  <c r="M14" i="1" s="1"/>
  <c r="K13" i="1"/>
  <c r="L13" i="1" s="1"/>
  <c r="M13" i="1" s="1"/>
  <c r="K12" i="1"/>
  <c r="L12" i="1" s="1"/>
  <c r="M12" i="1" s="1"/>
  <c r="M55" i="17" l="1"/>
  <c r="M26" i="17"/>
  <c r="M46" i="17"/>
  <c r="K6" i="16" l="1"/>
  <c r="L6" i="16"/>
  <c r="I4" i="16"/>
  <c r="I5" i="16"/>
  <c r="I6" i="16"/>
  <c r="I3" i="16"/>
  <c r="B2" i="16"/>
  <c r="B2" i="17"/>
  <c r="L7" i="17"/>
  <c r="J5" i="17"/>
  <c r="J6" i="17"/>
  <c r="J7" i="17"/>
  <c r="J4" i="17"/>
  <c r="F4" i="5"/>
  <c r="F5" i="5"/>
  <c r="F6" i="5"/>
  <c r="F3" i="5"/>
  <c r="E4" i="4"/>
  <c r="E5" i="4"/>
  <c r="E6" i="4"/>
  <c r="E3" i="4"/>
  <c r="D4" i="3"/>
  <c r="D5" i="3"/>
  <c r="D6" i="3"/>
  <c r="D3" i="3"/>
  <c r="E4" i="2"/>
  <c r="E5" i="2"/>
  <c r="E6" i="2"/>
  <c r="E4" i="1"/>
  <c r="E5" i="1"/>
  <c r="E6" i="1"/>
  <c r="E3" i="1"/>
  <c r="I2" i="14" a="1"/>
  <c r="I2" i="14" s="1"/>
  <c r="G4" i="4"/>
  <c r="H4" i="4"/>
  <c r="G5" i="4"/>
  <c r="H5" i="4"/>
  <c r="G6" i="4"/>
  <c r="H6" i="4"/>
  <c r="H3" i="5"/>
  <c r="H4" i="5"/>
  <c r="I4" i="5"/>
  <c r="H5" i="5"/>
  <c r="I5" i="5"/>
  <c r="H6" i="5"/>
  <c r="I6" i="5"/>
  <c r="F4" i="3"/>
  <c r="F5" i="3"/>
  <c r="F6" i="3"/>
  <c r="B2" i="2"/>
  <c r="G4" i="2"/>
  <c r="G5" i="2"/>
  <c r="G6" i="2"/>
  <c r="G3" i="2"/>
  <c r="I69" i="2"/>
  <c r="I61" i="2"/>
  <c r="I54" i="2"/>
  <c r="I47" i="2"/>
  <c r="I36" i="2"/>
  <c r="I31" i="2"/>
  <c r="I25" i="2"/>
  <c r="I17" i="2"/>
  <c r="G4" i="1"/>
  <c r="G5" i="1"/>
  <c r="G6" i="1"/>
  <c r="G3" i="1"/>
  <c r="B2" i="1"/>
  <c r="J63" i="1"/>
  <c r="K63" i="1" s="1"/>
  <c r="J56" i="1"/>
  <c r="K56" i="1" s="1"/>
  <c r="J47" i="1"/>
  <c r="K47" i="1" s="1"/>
  <c r="J33" i="1"/>
  <c r="K33" i="1" s="1"/>
  <c r="J27" i="1"/>
  <c r="K27" i="1" s="1"/>
  <c r="C4" i="1"/>
  <c r="J69" i="2" l="1"/>
  <c r="J17" i="2"/>
  <c r="J25" i="2"/>
  <c r="J61" i="2"/>
  <c r="J31" i="2"/>
  <c r="J36" i="2"/>
  <c r="J47" i="2"/>
  <c r="J54" i="2"/>
  <c r="I26" i="2"/>
  <c r="J64" i="1"/>
  <c r="J19" i="16"/>
  <c r="I19" i="16"/>
  <c r="G19" i="16"/>
  <c r="E19" i="16"/>
  <c r="J26" i="2" l="1"/>
  <c r="K64" i="1"/>
  <c r="J38" i="2" s="1"/>
  <c r="I38" i="2"/>
  <c r="L11" i="14"/>
  <c r="I59" i="4"/>
  <c r="I61" i="4"/>
  <c r="I58" i="4"/>
  <c r="L28" i="5"/>
  <c r="K27" i="16" s="1"/>
  <c r="L35" i="5"/>
  <c r="K34" i="16" s="1"/>
  <c r="L44" i="5"/>
  <c r="K43" i="16" s="1"/>
  <c r="D58" i="17"/>
  <c r="D58" i="1"/>
  <c r="I63" i="17"/>
  <c r="I63" i="1"/>
  <c r="M59" i="17"/>
  <c r="M61" i="17"/>
  <c r="M60" i="17"/>
  <c r="J58" i="17"/>
  <c r="J60" i="17"/>
  <c r="F60" i="17" s="1"/>
  <c r="H60" i="17" s="1"/>
  <c r="E60" i="17"/>
  <c r="G60" i="17" s="1"/>
  <c r="L58" i="4"/>
  <c r="H58" i="4"/>
  <c r="L60" i="4"/>
  <c r="I60" i="4"/>
  <c r="H60" i="4"/>
  <c r="L61" i="4"/>
  <c r="H61" i="4"/>
  <c r="L59" i="4"/>
  <c r="H59" i="4"/>
  <c r="G58" i="3"/>
  <c r="D58" i="3" s="1"/>
  <c r="E58" i="3"/>
  <c r="G60" i="3"/>
  <c r="K60" i="17" s="1"/>
  <c r="E60" i="3"/>
  <c r="G61" i="3"/>
  <c r="K61" i="17" s="1"/>
  <c r="E61" i="3"/>
  <c r="G59" i="3"/>
  <c r="K59" i="17" s="1"/>
  <c r="E59" i="3"/>
  <c r="D61" i="1"/>
  <c r="J59" i="17"/>
  <c r="J61" i="17"/>
  <c r="E61" i="17"/>
  <c r="G61" i="17" s="1"/>
  <c r="K6" i="4"/>
  <c r="O4" i="16"/>
  <c r="O3" i="16"/>
  <c r="K3" i="16"/>
  <c r="G5" i="16"/>
  <c r="G4" i="16"/>
  <c r="G3" i="16"/>
  <c r="C5" i="16"/>
  <c r="C4" i="16"/>
  <c r="J2" i="16"/>
  <c r="H2" i="16"/>
  <c r="P5" i="17"/>
  <c r="P4" i="17"/>
  <c r="L4" i="17"/>
  <c r="C5" i="17"/>
  <c r="C4" i="17"/>
  <c r="K2" i="17"/>
  <c r="I2" i="17"/>
  <c r="L5" i="5"/>
  <c r="L4" i="5"/>
  <c r="L3" i="5"/>
  <c r="L2" i="5"/>
  <c r="C5" i="5"/>
  <c r="C4" i="5"/>
  <c r="G2" i="5"/>
  <c r="E2" i="5"/>
  <c r="L5" i="4"/>
  <c r="L4" i="4"/>
  <c r="G3" i="4"/>
  <c r="C5" i="4"/>
  <c r="C4" i="4"/>
  <c r="I4" i="3"/>
  <c r="I5" i="3"/>
  <c r="I6" i="3"/>
  <c r="I3" i="3"/>
  <c r="I2" i="3"/>
  <c r="F3" i="3"/>
  <c r="C5" i="3"/>
  <c r="C4" i="3"/>
  <c r="C6" i="2"/>
  <c r="C5" i="2"/>
  <c r="C4" i="2"/>
  <c r="C6" i="1"/>
  <c r="C5" i="1"/>
  <c r="L3" i="4"/>
  <c r="L2" i="4"/>
  <c r="H2" i="4"/>
  <c r="F2" i="4"/>
  <c r="F2" i="3"/>
  <c r="D2" i="3"/>
  <c r="F2" i="2"/>
  <c r="D2" i="2"/>
  <c r="G2" i="1"/>
  <c r="E2" i="1"/>
  <c r="B2" i="5"/>
  <c r="B2" i="4"/>
  <c r="B2" i="3"/>
  <c r="L5" i="16"/>
  <c r="K5" i="16"/>
  <c r="K4" i="16"/>
  <c r="L6" i="17"/>
  <c r="L5" i="17"/>
  <c r="J16" i="16"/>
  <c r="C60" i="5"/>
  <c r="C59" i="16" s="1"/>
  <c r="C59" i="5"/>
  <c r="C58" i="16" s="1"/>
  <c r="H31" i="2"/>
  <c r="I31" i="16"/>
  <c r="L45" i="4"/>
  <c r="H46" i="4"/>
  <c r="H45" i="4"/>
  <c r="E45" i="3"/>
  <c r="G46" i="3"/>
  <c r="M51" i="17"/>
  <c r="M29" i="16"/>
  <c r="M31" i="16" s="1"/>
  <c r="M12" i="17"/>
  <c r="M27" i="17" s="1"/>
  <c r="L30" i="5"/>
  <c r="L32" i="5" s="1"/>
  <c r="I30" i="5"/>
  <c r="I31" i="5"/>
  <c r="G84" i="2"/>
  <c r="E27" i="2" s="1"/>
  <c r="K27" i="2" s="1"/>
  <c r="L27" i="2" s="1"/>
  <c r="J29" i="16"/>
  <c r="J31" i="16"/>
  <c r="J30" i="16"/>
  <c r="G84" i="16"/>
  <c r="L27" i="16" s="1"/>
  <c r="I84" i="16"/>
  <c r="M27" i="16" s="1"/>
  <c r="C43" i="5"/>
  <c r="C42" i="16" s="1"/>
  <c r="C44" i="5"/>
  <c r="C43" i="16" s="1"/>
  <c r="C42" i="5"/>
  <c r="C41" i="16" s="1"/>
  <c r="G45" i="3"/>
  <c r="K45" i="17" s="1"/>
  <c r="I45" i="4"/>
  <c r="M45" i="17"/>
  <c r="J45" i="17"/>
  <c r="I107" i="17"/>
  <c r="M2" i="14"/>
  <c r="L69" i="16"/>
  <c r="L61" i="16"/>
  <c r="H17" i="2"/>
  <c r="I17" i="5"/>
  <c r="I124" i="17"/>
  <c r="M62" i="17" s="1"/>
  <c r="M63" i="17" s="1"/>
  <c r="I115" i="17"/>
  <c r="I86" i="17"/>
  <c r="I3" i="5"/>
  <c r="G107" i="2"/>
  <c r="E46" i="2" s="1"/>
  <c r="K46" i="2" s="1"/>
  <c r="L46" i="2" s="1"/>
  <c r="G100" i="2"/>
  <c r="E35" i="2" s="1"/>
  <c r="K35" i="2" s="1"/>
  <c r="L35" i="2" s="1"/>
  <c r="G91" i="2"/>
  <c r="E30" i="2" s="1"/>
  <c r="K30" i="2" s="1"/>
  <c r="L30" i="2" s="1"/>
  <c r="G77" i="2"/>
  <c r="E16" i="2" s="1"/>
  <c r="K16" i="2" s="1"/>
  <c r="L16" i="2" s="1"/>
  <c r="G107" i="16"/>
  <c r="L46" i="16"/>
  <c r="L47" i="16" s="1"/>
  <c r="G100" i="16"/>
  <c r="L35" i="16" s="1"/>
  <c r="L36" i="16" s="1"/>
  <c r="G91" i="16"/>
  <c r="G77" i="16"/>
  <c r="L16" i="16"/>
  <c r="H2" i="14"/>
  <c r="I124" i="1"/>
  <c r="E62" i="1" s="1"/>
  <c r="L62" i="1" s="1"/>
  <c r="M62" i="1" s="1"/>
  <c r="I115" i="1"/>
  <c r="E55" i="1" s="1"/>
  <c r="L55" i="1" s="1"/>
  <c r="M55" i="1" s="1"/>
  <c r="I107" i="1"/>
  <c r="E46" i="1" s="1"/>
  <c r="L46" i="1" s="1"/>
  <c r="M46" i="1" s="1"/>
  <c r="I86" i="1"/>
  <c r="E26" i="1" s="1"/>
  <c r="L26" i="1" s="1"/>
  <c r="M26" i="1" s="1"/>
  <c r="G124" i="17"/>
  <c r="L62" i="17" s="1"/>
  <c r="L63" i="17" s="1"/>
  <c r="G115" i="17"/>
  <c r="G107" i="17"/>
  <c r="L46" i="17"/>
  <c r="G86" i="17"/>
  <c r="L26" i="17"/>
  <c r="L27" i="17" s="1"/>
  <c r="H36" i="2"/>
  <c r="H47" i="2"/>
  <c r="H54" i="2"/>
  <c r="H61" i="2"/>
  <c r="H69" i="2"/>
  <c r="I47" i="1"/>
  <c r="I56" i="1"/>
  <c r="L24" i="16"/>
  <c r="H11" i="16"/>
  <c r="H19" i="16" s="1"/>
  <c r="H12" i="16"/>
  <c r="H14" i="16"/>
  <c r="H15" i="16"/>
  <c r="M15" i="16" s="1"/>
  <c r="H20" i="16"/>
  <c r="H25" i="16" s="1"/>
  <c r="H22" i="16"/>
  <c r="H23" i="16"/>
  <c r="H24" i="16"/>
  <c r="F23" i="16"/>
  <c r="M23" i="16" s="1"/>
  <c r="F24" i="16"/>
  <c r="M24" i="16" s="1"/>
  <c r="F22" i="16"/>
  <c r="F20" i="16"/>
  <c r="F15" i="16"/>
  <c r="F14" i="16"/>
  <c r="F12" i="16"/>
  <c r="M12" i="16" s="1"/>
  <c r="F11" i="16"/>
  <c r="F19" i="16" s="1"/>
  <c r="M56" i="17"/>
  <c r="M54" i="17"/>
  <c r="M53" i="17"/>
  <c r="M52" i="17"/>
  <c r="M50" i="17"/>
  <c r="M49" i="17"/>
  <c r="M44" i="17"/>
  <c r="M43" i="17"/>
  <c r="M42" i="17"/>
  <c r="M41" i="17"/>
  <c r="M40" i="17"/>
  <c r="M39" i="17"/>
  <c r="M38" i="17"/>
  <c r="M37" i="17"/>
  <c r="M36" i="17"/>
  <c r="M35" i="17"/>
  <c r="M47" i="17" s="1"/>
  <c r="M32" i="17"/>
  <c r="M31" i="17"/>
  <c r="M30" i="17"/>
  <c r="M29" i="17"/>
  <c r="M25" i="17"/>
  <c r="M24" i="17"/>
  <c r="M23" i="17"/>
  <c r="M22" i="17"/>
  <c r="M21" i="17"/>
  <c r="M20" i="17"/>
  <c r="M19" i="17"/>
  <c r="M18" i="17"/>
  <c r="M17" i="17"/>
  <c r="M16" i="17"/>
  <c r="M15" i="17"/>
  <c r="M14" i="17"/>
  <c r="M13" i="17"/>
  <c r="J62" i="17"/>
  <c r="J55" i="17"/>
  <c r="J54" i="17"/>
  <c r="J53" i="17"/>
  <c r="J52" i="17"/>
  <c r="J51" i="17"/>
  <c r="J50" i="17"/>
  <c r="J49" i="17"/>
  <c r="J46" i="17"/>
  <c r="J44" i="17"/>
  <c r="J43" i="17"/>
  <c r="J42" i="17"/>
  <c r="J41" i="17"/>
  <c r="J40" i="17"/>
  <c r="J39" i="17"/>
  <c r="J38" i="17"/>
  <c r="J37" i="17"/>
  <c r="J36" i="17"/>
  <c r="J35" i="17"/>
  <c r="J32" i="17"/>
  <c r="J31" i="17"/>
  <c r="J30" i="17"/>
  <c r="J29" i="17"/>
  <c r="J26" i="17"/>
  <c r="J25" i="17"/>
  <c r="J24" i="17"/>
  <c r="J23" i="17"/>
  <c r="J22" i="17"/>
  <c r="J21" i="17"/>
  <c r="J20" i="17"/>
  <c r="J19" i="17"/>
  <c r="J18" i="17"/>
  <c r="J17" i="17"/>
  <c r="J16" i="17"/>
  <c r="J15" i="17"/>
  <c r="J14" i="17"/>
  <c r="J13" i="17"/>
  <c r="J12" i="17"/>
  <c r="M68" i="16"/>
  <c r="M67" i="16"/>
  <c r="M66" i="16"/>
  <c r="M65" i="16"/>
  <c r="M64" i="16"/>
  <c r="M63" i="16"/>
  <c r="M60" i="16"/>
  <c r="M59" i="16"/>
  <c r="M61" i="16" s="1"/>
  <c r="M58" i="16"/>
  <c r="M57" i="16"/>
  <c r="M53" i="16"/>
  <c r="M52" i="16"/>
  <c r="M51" i="16"/>
  <c r="M50" i="16"/>
  <c r="M49" i="16"/>
  <c r="M54" i="16" s="1"/>
  <c r="M45" i="16"/>
  <c r="M47" i="16" s="1"/>
  <c r="M44" i="16"/>
  <c r="M43" i="16"/>
  <c r="M42" i="16"/>
  <c r="M41" i="16"/>
  <c r="M34" i="16"/>
  <c r="M33" i="16"/>
  <c r="M36" i="16"/>
  <c r="J68" i="16"/>
  <c r="J67" i="16"/>
  <c r="J66" i="16"/>
  <c r="J65" i="16"/>
  <c r="J69" i="16" s="1"/>
  <c r="J64" i="16"/>
  <c r="J63" i="16"/>
  <c r="J60" i="16"/>
  <c r="J59" i="16"/>
  <c r="J61" i="16" s="1"/>
  <c r="J58" i="16"/>
  <c r="J57" i="16"/>
  <c r="J53" i="16"/>
  <c r="J52" i="16"/>
  <c r="J51" i="16"/>
  <c r="J50" i="16"/>
  <c r="J49" i="16"/>
  <c r="J54" i="16"/>
  <c r="J46" i="16"/>
  <c r="J45" i="16"/>
  <c r="J44" i="16"/>
  <c r="J43" i="16"/>
  <c r="J42" i="16"/>
  <c r="J41" i="16"/>
  <c r="J47" i="16" s="1"/>
  <c r="J35" i="16"/>
  <c r="J34" i="16"/>
  <c r="J33" i="16"/>
  <c r="J27" i="16"/>
  <c r="J24" i="16"/>
  <c r="J23" i="16"/>
  <c r="J22" i="16"/>
  <c r="J21" i="16"/>
  <c r="J25" i="16" s="1"/>
  <c r="J26" i="16" s="1"/>
  <c r="J37" i="16" s="1"/>
  <c r="M21" i="16"/>
  <c r="J15" i="16"/>
  <c r="J14" i="16"/>
  <c r="M14" i="16" s="1"/>
  <c r="J13" i="16"/>
  <c r="M13" i="16" s="1"/>
  <c r="F25" i="5"/>
  <c r="F24" i="5"/>
  <c r="L24" i="5" s="1"/>
  <c r="K23" i="16" s="1"/>
  <c r="F23" i="5"/>
  <c r="J69" i="5"/>
  <c r="J68" i="5"/>
  <c r="J67" i="5"/>
  <c r="J66" i="5"/>
  <c r="J65" i="5"/>
  <c r="J64" i="5"/>
  <c r="J61" i="5"/>
  <c r="J60" i="5"/>
  <c r="J59" i="5"/>
  <c r="J58" i="5"/>
  <c r="J54" i="5"/>
  <c r="J53" i="5"/>
  <c r="J52" i="5"/>
  <c r="J51" i="5"/>
  <c r="J50" i="5"/>
  <c r="J47" i="5"/>
  <c r="J46" i="5"/>
  <c r="J45" i="5"/>
  <c r="J44" i="5"/>
  <c r="J43" i="5"/>
  <c r="J42" i="5"/>
  <c r="J36" i="5"/>
  <c r="J35" i="5"/>
  <c r="L69" i="5"/>
  <c r="K68" i="16" s="1"/>
  <c r="N68" i="16" s="1"/>
  <c r="L68" i="5"/>
  <c r="K67" i="16" s="1"/>
  <c r="N67" i="16" s="1"/>
  <c r="L67" i="5"/>
  <c r="L66" i="5"/>
  <c r="K65" i="16" s="1"/>
  <c r="N65" i="16" s="1"/>
  <c r="L65" i="5"/>
  <c r="K64" i="16" s="1"/>
  <c r="N64" i="16" s="1"/>
  <c r="L64" i="5"/>
  <c r="K63" i="16" s="1"/>
  <c r="N63" i="16" s="1"/>
  <c r="L61" i="5"/>
  <c r="K60" i="16" s="1"/>
  <c r="L60" i="5"/>
  <c r="K59" i="16" s="1"/>
  <c r="L59" i="5"/>
  <c r="K58" i="16" s="1"/>
  <c r="N58" i="16" s="1"/>
  <c r="L58" i="5"/>
  <c r="K57" i="16" s="1"/>
  <c r="N57" i="16" s="1"/>
  <c r="L54" i="5"/>
  <c r="K53" i="16" s="1"/>
  <c r="N53" i="16" s="1"/>
  <c r="L53" i="5"/>
  <c r="K52" i="16" s="1"/>
  <c r="N52" i="16" s="1"/>
  <c r="L52" i="5"/>
  <c r="L51" i="5"/>
  <c r="K50" i="16" s="1"/>
  <c r="N50" i="16" s="1"/>
  <c r="L50" i="5"/>
  <c r="K49" i="16" s="1"/>
  <c r="L47" i="5"/>
  <c r="L46" i="5"/>
  <c r="K45" i="16" s="1"/>
  <c r="L45" i="5"/>
  <c r="K44" i="16" s="1"/>
  <c r="N44" i="16" s="1"/>
  <c r="L43" i="5"/>
  <c r="K42" i="16" s="1"/>
  <c r="N42" i="16" s="1"/>
  <c r="L42" i="5"/>
  <c r="K41" i="16" s="1"/>
  <c r="L36" i="5"/>
  <c r="K35" i="16" s="1"/>
  <c r="L34" i="5"/>
  <c r="K33" i="16" s="1"/>
  <c r="N33" i="16" s="1"/>
  <c r="L23" i="16"/>
  <c r="L22" i="16"/>
  <c r="L21" i="16"/>
  <c r="L20" i="16"/>
  <c r="L25" i="16" s="1"/>
  <c r="L15" i="16"/>
  <c r="L17" i="16" s="1"/>
  <c r="L14" i="16"/>
  <c r="L13" i="16"/>
  <c r="L12" i="16"/>
  <c r="L11" i="16"/>
  <c r="L19" i="16" s="1"/>
  <c r="E25" i="16"/>
  <c r="E12" i="5"/>
  <c r="I54" i="16"/>
  <c r="L54" i="16"/>
  <c r="I47" i="16"/>
  <c r="L4" i="16"/>
  <c r="I69" i="16"/>
  <c r="I61" i="16"/>
  <c r="I36" i="16"/>
  <c r="I25" i="16"/>
  <c r="I17" i="16"/>
  <c r="I26" i="16"/>
  <c r="I37" i="16" s="1"/>
  <c r="G14" i="3"/>
  <c r="K14" i="17" s="1"/>
  <c r="I56" i="17"/>
  <c r="I47" i="17"/>
  <c r="I33" i="17"/>
  <c r="I27" i="17"/>
  <c r="I64" i="17" s="1"/>
  <c r="I38" i="16" s="1"/>
  <c r="G62" i="3"/>
  <c r="K62" i="17" s="1"/>
  <c r="G55" i="3"/>
  <c r="K55" i="17" s="1"/>
  <c r="G54" i="3"/>
  <c r="K54" i="17" s="1"/>
  <c r="N54" i="17" s="1"/>
  <c r="O54" i="17" s="1"/>
  <c r="G53" i="3"/>
  <c r="K53" i="17" s="1"/>
  <c r="G52" i="3"/>
  <c r="K52" i="17" s="1"/>
  <c r="N52" i="17" s="1"/>
  <c r="O52" i="17" s="1"/>
  <c r="G51" i="3"/>
  <c r="K51" i="17" s="1"/>
  <c r="G50" i="3"/>
  <c r="G49" i="3"/>
  <c r="K49" i="17" s="1"/>
  <c r="N49" i="17" s="1"/>
  <c r="O49" i="17" s="1"/>
  <c r="G44" i="3"/>
  <c r="K44" i="17" s="1"/>
  <c r="G43" i="3"/>
  <c r="K43" i="17" s="1"/>
  <c r="G42" i="3"/>
  <c r="G41" i="3"/>
  <c r="K41" i="17" s="1"/>
  <c r="G40" i="3"/>
  <c r="K40" i="17" s="1"/>
  <c r="G39" i="3"/>
  <c r="K39" i="17" s="1"/>
  <c r="N39" i="17" s="1"/>
  <c r="O39" i="17" s="1"/>
  <c r="G38" i="3"/>
  <c r="K38" i="17" s="1"/>
  <c r="G37" i="3"/>
  <c r="K37" i="17" s="1"/>
  <c r="G36" i="3"/>
  <c r="K36" i="17" s="1"/>
  <c r="G35" i="3"/>
  <c r="K35" i="17" s="1"/>
  <c r="G32" i="3"/>
  <c r="G31" i="3"/>
  <c r="K31" i="17" s="1"/>
  <c r="N31" i="17" s="1"/>
  <c r="O31" i="17" s="1"/>
  <c r="G30" i="3"/>
  <c r="K30" i="17" s="1"/>
  <c r="N30" i="17" s="1"/>
  <c r="G29" i="3"/>
  <c r="G25" i="3"/>
  <c r="K25" i="17" s="1"/>
  <c r="M44" i="5"/>
  <c r="M43" i="5"/>
  <c r="C69" i="5"/>
  <c r="C68" i="16" s="1"/>
  <c r="C61" i="5"/>
  <c r="C60" i="16" s="1"/>
  <c r="C54" i="5"/>
  <c r="C53" i="16" s="1"/>
  <c r="C53" i="5"/>
  <c r="C52" i="16" s="1"/>
  <c r="M61" i="5"/>
  <c r="M69" i="5"/>
  <c r="M54" i="5"/>
  <c r="M53" i="5"/>
  <c r="L3" i="16"/>
  <c r="H3" i="4"/>
  <c r="I69" i="5"/>
  <c r="I68" i="5"/>
  <c r="I67" i="5"/>
  <c r="I66" i="5"/>
  <c r="I65" i="5"/>
  <c r="I64" i="5"/>
  <c r="I61" i="5"/>
  <c r="I60" i="5"/>
  <c r="I59" i="5"/>
  <c r="I58" i="5"/>
  <c r="I54" i="5"/>
  <c r="I53" i="5"/>
  <c r="I52" i="5"/>
  <c r="I51" i="5"/>
  <c r="I50" i="5"/>
  <c r="I47" i="5"/>
  <c r="I46" i="5"/>
  <c r="I45" i="5"/>
  <c r="I44" i="5"/>
  <c r="I43" i="5"/>
  <c r="I42" i="5"/>
  <c r="I36" i="5"/>
  <c r="I35" i="5"/>
  <c r="I34" i="5"/>
  <c r="I25" i="5"/>
  <c r="I24" i="5"/>
  <c r="I23" i="5"/>
  <c r="I16" i="5"/>
  <c r="I15" i="5"/>
  <c r="I14" i="5"/>
  <c r="K14" i="5" s="1"/>
  <c r="G25" i="5"/>
  <c r="G24" i="5"/>
  <c r="G23" i="5"/>
  <c r="G16" i="5"/>
  <c r="G15" i="5"/>
  <c r="G13" i="5"/>
  <c r="G12" i="5"/>
  <c r="E25" i="5"/>
  <c r="E24" i="5"/>
  <c r="E23" i="5"/>
  <c r="E16" i="5"/>
  <c r="E15" i="5"/>
  <c r="E13" i="5"/>
  <c r="E54" i="3"/>
  <c r="E53" i="3"/>
  <c r="E52" i="3"/>
  <c r="E50" i="3"/>
  <c r="E49" i="3"/>
  <c r="E44" i="3"/>
  <c r="E43" i="3"/>
  <c r="E42" i="3"/>
  <c r="E41" i="3"/>
  <c r="E40" i="3"/>
  <c r="E39" i="3"/>
  <c r="E38" i="3"/>
  <c r="E37" i="3"/>
  <c r="E36" i="3"/>
  <c r="E35" i="3"/>
  <c r="E32" i="3"/>
  <c r="E31" i="3"/>
  <c r="E30" i="3"/>
  <c r="E29" i="3"/>
  <c r="G26" i="3"/>
  <c r="K26" i="17" s="1"/>
  <c r="E25" i="3"/>
  <c r="E24" i="3"/>
  <c r="G24" i="3"/>
  <c r="K24" i="17" s="1"/>
  <c r="E23" i="3"/>
  <c r="G23" i="3"/>
  <c r="K23" i="17" s="1"/>
  <c r="E22" i="3"/>
  <c r="G22" i="3"/>
  <c r="K22" i="17" s="1"/>
  <c r="E21" i="3"/>
  <c r="G21" i="3"/>
  <c r="K21" i="17" s="1"/>
  <c r="N21" i="17" s="1"/>
  <c r="E20" i="3"/>
  <c r="G20" i="3"/>
  <c r="K20" i="17" s="1"/>
  <c r="E19" i="3"/>
  <c r="G19" i="3"/>
  <c r="K19" i="17" s="1"/>
  <c r="E18" i="3"/>
  <c r="G18" i="3"/>
  <c r="K18" i="17" s="1"/>
  <c r="N18" i="17" s="1"/>
  <c r="O18" i="17" s="1"/>
  <c r="E17" i="3"/>
  <c r="G17" i="3"/>
  <c r="K17" i="17" s="1"/>
  <c r="E16" i="3"/>
  <c r="G16" i="3"/>
  <c r="K16" i="17" s="1"/>
  <c r="E15" i="3"/>
  <c r="G15" i="3"/>
  <c r="K15" i="17" s="1"/>
  <c r="E14" i="3"/>
  <c r="E13" i="3"/>
  <c r="G13" i="3"/>
  <c r="K13" i="17" s="1"/>
  <c r="L62" i="4"/>
  <c r="L55" i="4"/>
  <c r="L54" i="4"/>
  <c r="L53" i="4"/>
  <c r="L52" i="4"/>
  <c r="L51" i="4"/>
  <c r="L50" i="4"/>
  <c r="L49" i="4"/>
  <c r="L46" i="4"/>
  <c r="L44" i="4"/>
  <c r="L43" i="4"/>
  <c r="L42" i="4"/>
  <c r="L41" i="4"/>
  <c r="L40" i="4"/>
  <c r="L39" i="4"/>
  <c r="L38" i="4"/>
  <c r="L37" i="4"/>
  <c r="L36" i="4"/>
  <c r="L35" i="4"/>
  <c r="L32" i="4"/>
  <c r="L31" i="4"/>
  <c r="L30" i="4"/>
  <c r="L29" i="4"/>
  <c r="L26" i="4"/>
  <c r="L25" i="4"/>
  <c r="L24" i="4"/>
  <c r="L23" i="4"/>
  <c r="L22" i="4"/>
  <c r="L21" i="4"/>
  <c r="L20" i="4"/>
  <c r="L19" i="4"/>
  <c r="L18" i="4"/>
  <c r="L17" i="4"/>
  <c r="L16" i="4"/>
  <c r="L15" i="4"/>
  <c r="L14" i="4"/>
  <c r="L13" i="4"/>
  <c r="H55" i="4"/>
  <c r="H54" i="4"/>
  <c r="H53" i="4"/>
  <c r="H52" i="4"/>
  <c r="H51" i="4"/>
  <c r="H50" i="4"/>
  <c r="H49" i="4"/>
  <c r="H44" i="4"/>
  <c r="H43" i="4"/>
  <c r="H42" i="4"/>
  <c r="H41" i="4"/>
  <c r="H40" i="4"/>
  <c r="H39" i="4"/>
  <c r="H38" i="4"/>
  <c r="H37" i="4"/>
  <c r="H36" i="4"/>
  <c r="H35" i="4"/>
  <c r="H32" i="4"/>
  <c r="H31" i="4"/>
  <c r="H30" i="4"/>
  <c r="H29" i="4"/>
  <c r="H26" i="4"/>
  <c r="H25" i="4"/>
  <c r="H24" i="4"/>
  <c r="H23" i="4"/>
  <c r="H22" i="4"/>
  <c r="H21" i="4"/>
  <c r="H20" i="4"/>
  <c r="H19" i="4"/>
  <c r="H18" i="4"/>
  <c r="H17" i="4"/>
  <c r="H16" i="4"/>
  <c r="H15" i="4"/>
  <c r="H14" i="4"/>
  <c r="H13" i="4"/>
  <c r="I28" i="5"/>
  <c r="H12" i="4"/>
  <c r="L12" i="4"/>
  <c r="H62" i="4"/>
  <c r="E12" i="3"/>
  <c r="G12" i="3"/>
  <c r="K12" i="17" s="1"/>
  <c r="C2" i="2"/>
  <c r="E2" i="2"/>
  <c r="E11" i="2"/>
  <c r="E12" i="2"/>
  <c r="K12" i="2" s="1"/>
  <c r="L12" i="2" s="1"/>
  <c r="E13" i="2"/>
  <c r="K13" i="2" s="1"/>
  <c r="L13" i="2" s="1"/>
  <c r="E14" i="2"/>
  <c r="K14" i="2" s="1"/>
  <c r="L14" i="2" s="1"/>
  <c r="E15" i="2"/>
  <c r="K15" i="2" s="1"/>
  <c r="L15" i="2" s="1"/>
  <c r="E22" i="2"/>
  <c r="K22" i="2" s="1"/>
  <c r="L22" i="2" s="1"/>
  <c r="E23" i="2"/>
  <c r="K23" i="2" s="1"/>
  <c r="L23" i="2" s="1"/>
  <c r="E24" i="2"/>
  <c r="K24" i="2" s="1"/>
  <c r="L24" i="2" s="1"/>
  <c r="I27" i="1"/>
  <c r="E33" i="1"/>
  <c r="L33" i="1" s="1"/>
  <c r="M33" i="1" s="1"/>
  <c r="I33" i="1"/>
  <c r="L4" i="14"/>
  <c r="F41" i="2" s="1"/>
  <c r="L33" i="17"/>
  <c r="G25" i="16"/>
  <c r="I52" i="4"/>
  <c r="I14" i="4"/>
  <c r="E14" i="17" s="1"/>
  <c r="G14" i="17" s="1"/>
  <c r="I21" i="4"/>
  <c r="E21" i="17" s="1"/>
  <c r="G21" i="17" s="1"/>
  <c r="I13" i="4"/>
  <c r="I40" i="4"/>
  <c r="E40" i="17" s="1"/>
  <c r="G40" i="17" s="1"/>
  <c r="I43" i="4"/>
  <c r="I23" i="4"/>
  <c r="I15" i="4"/>
  <c r="E15" i="17" s="1"/>
  <c r="G15" i="17" s="1"/>
  <c r="I50" i="4"/>
  <c r="E50" i="17" s="1"/>
  <c r="G50" i="17" s="1"/>
  <c r="I31" i="4"/>
  <c r="F31" i="17" s="1"/>
  <c r="H31" i="17" s="1"/>
  <c r="E54" i="2"/>
  <c r="K54" i="2" s="1"/>
  <c r="L54" i="2" s="1"/>
  <c r="E61" i="2"/>
  <c r="K61" i="2" s="1"/>
  <c r="L61" i="2" s="1"/>
  <c r="E69" i="2"/>
  <c r="K69" i="2" s="1"/>
  <c r="L69" i="2" s="1"/>
  <c r="I46" i="4"/>
  <c r="E46" i="17" s="1"/>
  <c r="G46" i="17" s="1"/>
  <c r="I12" i="4"/>
  <c r="E12" i="17" s="1"/>
  <c r="G12" i="17" s="1"/>
  <c r="I53" i="4"/>
  <c r="E53" i="17" s="1"/>
  <c r="G53" i="17" s="1"/>
  <c r="I19" i="4"/>
  <c r="E19" i="17" s="1"/>
  <c r="G19" i="17" s="1"/>
  <c r="I38" i="4"/>
  <c r="I55" i="4"/>
  <c r="E58" i="17" s="1"/>
  <c r="G58" i="17" s="1"/>
  <c r="I37" i="4"/>
  <c r="I29" i="4"/>
  <c r="F29" i="17" s="1"/>
  <c r="H29" i="17" s="1"/>
  <c r="I35" i="4"/>
  <c r="I49" i="4"/>
  <c r="I18" i="4"/>
  <c r="I24" i="4"/>
  <c r="I22" i="4"/>
  <c r="E22" i="17" s="1"/>
  <c r="G22" i="17" s="1"/>
  <c r="I26" i="4"/>
  <c r="I25" i="4"/>
  <c r="E25" i="17" s="1"/>
  <c r="G25" i="17" s="1"/>
  <c r="I39" i="4"/>
  <c r="E39" i="17" s="1"/>
  <c r="G39" i="17" s="1"/>
  <c r="I32" i="4"/>
  <c r="E32" i="17" s="1"/>
  <c r="G32" i="17" s="1"/>
  <c r="I30" i="4"/>
  <c r="I41" i="4"/>
  <c r="E41" i="17" s="1"/>
  <c r="G41" i="17" s="1"/>
  <c r="I51" i="4"/>
  <c r="I44" i="4"/>
  <c r="I16" i="4"/>
  <c r="I62" i="4"/>
  <c r="I42" i="4"/>
  <c r="E42" i="17" s="1"/>
  <c r="G42" i="17" s="1"/>
  <c r="I54" i="4"/>
  <c r="I36" i="4"/>
  <c r="I17" i="4"/>
  <c r="I20" i="4"/>
  <c r="E20" i="17" s="1"/>
  <c r="G20" i="17" s="1"/>
  <c r="I77" i="16"/>
  <c r="M16" i="16"/>
  <c r="J36" i="16"/>
  <c r="M69" i="16"/>
  <c r="J17" i="16"/>
  <c r="I91" i="16"/>
  <c r="M30" i="16"/>
  <c r="I100" i="16"/>
  <c r="M35" i="16"/>
  <c r="I107" i="16"/>
  <c r="M46" i="16" s="1"/>
  <c r="M33" i="17"/>
  <c r="L30" i="16"/>
  <c r="L31" i="16"/>
  <c r="L55" i="17"/>
  <c r="E51" i="3"/>
  <c r="M11" i="16"/>
  <c r="M19" i="16" s="1"/>
  <c r="D61" i="17"/>
  <c r="F61" i="17"/>
  <c r="H61" i="17" s="1"/>
  <c r="K30" i="16"/>
  <c r="L56" i="17"/>
  <c r="L47" i="17"/>
  <c r="F25" i="16" l="1"/>
  <c r="F16" i="3"/>
  <c r="E58" i="16"/>
  <c r="G58" i="16" s="1"/>
  <c r="N6" i="1"/>
  <c r="M6" i="2"/>
  <c r="L6" i="5"/>
  <c r="D61" i="3"/>
  <c r="K11" i="2"/>
  <c r="L11" i="2" s="1"/>
  <c r="G8" i="5"/>
  <c r="K4" i="2"/>
  <c r="G9" i="1"/>
  <c r="K4" i="1"/>
  <c r="H9" i="1"/>
  <c r="M64" i="17"/>
  <c r="L16" i="5"/>
  <c r="K15" i="16" s="1"/>
  <c r="N15" i="16" s="1"/>
  <c r="L33" i="4"/>
  <c r="L47" i="4"/>
  <c r="L64" i="17"/>
  <c r="N23" i="17"/>
  <c r="O23" i="17" s="1"/>
  <c r="F36" i="17"/>
  <c r="H36" i="17" s="1"/>
  <c r="N12" i="17"/>
  <c r="O12" i="17" s="1"/>
  <c r="N16" i="17"/>
  <c r="O16" i="17" s="1"/>
  <c r="N24" i="17"/>
  <c r="O24" i="17" s="1"/>
  <c r="N36" i="17"/>
  <c r="O36" i="17" s="1"/>
  <c r="N55" i="17"/>
  <c r="O55" i="17" s="1"/>
  <c r="J56" i="17"/>
  <c r="F35" i="17"/>
  <c r="H35" i="17" s="1"/>
  <c r="N62" i="17"/>
  <c r="O62" i="17" s="1"/>
  <c r="I39" i="16"/>
  <c r="I55" i="16" s="1"/>
  <c r="J33" i="17"/>
  <c r="N17" i="17"/>
  <c r="O17" i="17" s="1"/>
  <c r="N37" i="17"/>
  <c r="O37" i="17" s="1"/>
  <c r="J47" i="17"/>
  <c r="J64" i="17" s="1"/>
  <c r="J38" i="16" s="1"/>
  <c r="J39" i="16" s="1"/>
  <c r="J55" i="16" s="1"/>
  <c r="F37" i="17"/>
  <c r="H37" i="17" s="1"/>
  <c r="F51" i="17"/>
  <c r="H51" i="17" s="1"/>
  <c r="M17" i="16"/>
  <c r="L26" i="16"/>
  <c r="L37" i="16" s="1"/>
  <c r="M20" i="16"/>
  <c r="M25" i="16" s="1"/>
  <c r="N30" i="16"/>
  <c r="N45" i="16"/>
  <c r="N60" i="16"/>
  <c r="M22" i="16"/>
  <c r="N43" i="16"/>
  <c r="N34" i="16"/>
  <c r="N23" i="16"/>
  <c r="N27" i="16"/>
  <c r="F66" i="2"/>
  <c r="E67" i="5" s="1"/>
  <c r="F65" i="16"/>
  <c r="H65" i="16" s="1"/>
  <c r="E27" i="16"/>
  <c r="G27" i="16" s="1"/>
  <c r="F53" i="2"/>
  <c r="G53" i="2" s="1"/>
  <c r="G54" i="5" s="1"/>
  <c r="H29" i="3"/>
  <c r="H60" i="3"/>
  <c r="K16" i="5"/>
  <c r="E31" i="2"/>
  <c r="K31" i="2" s="1"/>
  <c r="L31" i="2" s="1"/>
  <c r="E36" i="2"/>
  <c r="K36" i="2" s="1"/>
  <c r="L36" i="2" s="1"/>
  <c r="E47" i="2"/>
  <c r="K47" i="2" s="1"/>
  <c r="L47" i="2" s="1"/>
  <c r="I32" i="5"/>
  <c r="E46" i="3"/>
  <c r="E47" i="3" s="1"/>
  <c r="E55" i="3"/>
  <c r="E56" i="3" s="1"/>
  <c r="E56" i="1"/>
  <c r="L56" i="1" s="1"/>
  <c r="M56" i="1" s="1"/>
  <c r="F46" i="1"/>
  <c r="E46" i="4" s="1"/>
  <c r="E63" i="16"/>
  <c r="G63" i="16" s="1"/>
  <c r="F42" i="1"/>
  <c r="E42" i="4" s="1"/>
  <c r="E51" i="16"/>
  <c r="G51" i="16" s="1"/>
  <c r="O5" i="16"/>
  <c r="F49" i="1"/>
  <c r="E49" i="4" s="1"/>
  <c r="E64" i="16"/>
  <c r="G64" i="16" s="1"/>
  <c r="F43" i="1"/>
  <c r="E43" i="4" s="1"/>
  <c r="F47" i="5"/>
  <c r="H47" i="5" s="1"/>
  <c r="E44" i="16"/>
  <c r="G44" i="16" s="1"/>
  <c r="F58" i="2"/>
  <c r="E59" i="5" s="1"/>
  <c r="F53" i="16"/>
  <c r="H53" i="16" s="1"/>
  <c r="F22" i="1"/>
  <c r="G22" i="1" s="1"/>
  <c r="F18" i="1"/>
  <c r="E18" i="4" s="1"/>
  <c r="E66" i="16"/>
  <c r="G66" i="16" s="1"/>
  <c r="F53" i="1"/>
  <c r="G53" i="1" s="1"/>
  <c r="F20" i="17"/>
  <c r="H20" i="17" s="1"/>
  <c r="E42" i="16"/>
  <c r="G42" i="16" s="1"/>
  <c r="E68" i="16"/>
  <c r="G68" i="16" s="1"/>
  <c r="F22" i="17"/>
  <c r="H22" i="17" s="1"/>
  <c r="H30" i="3"/>
  <c r="H16" i="3"/>
  <c r="J27" i="17"/>
  <c r="J63" i="17"/>
  <c r="F23" i="17"/>
  <c r="H23" i="17" s="1"/>
  <c r="F43" i="17"/>
  <c r="H43" i="17" s="1"/>
  <c r="F18" i="17"/>
  <c r="H18" i="17" s="1"/>
  <c r="F42" i="17"/>
  <c r="H42" i="17" s="1"/>
  <c r="E55" i="17"/>
  <c r="G55" i="17" s="1"/>
  <c r="E36" i="17"/>
  <c r="G36" i="17" s="1"/>
  <c r="E33" i="3"/>
  <c r="J26" i="4"/>
  <c r="K26" i="4" s="1"/>
  <c r="J32" i="4"/>
  <c r="K32" i="4" s="1"/>
  <c r="J24" i="4"/>
  <c r="K24" i="4" s="1"/>
  <c r="I64" i="1"/>
  <c r="H38" i="2" s="1"/>
  <c r="I39" i="5" s="1"/>
  <c r="L56" i="4"/>
  <c r="J45" i="4"/>
  <c r="K45" i="4" s="1"/>
  <c r="E37" i="17"/>
  <c r="G37" i="17" s="1"/>
  <c r="F50" i="17"/>
  <c r="H50" i="17" s="1"/>
  <c r="J17" i="4"/>
  <c r="K17" i="4" s="1"/>
  <c r="J52" i="4"/>
  <c r="K52" i="4" s="1"/>
  <c r="K32" i="17"/>
  <c r="H63" i="4"/>
  <c r="L63" i="4"/>
  <c r="F26" i="17"/>
  <c r="H26" i="17" s="1"/>
  <c r="F12" i="17"/>
  <c r="H12" i="17" s="1"/>
  <c r="E51" i="17"/>
  <c r="G51" i="17" s="1"/>
  <c r="H33" i="4"/>
  <c r="H47" i="4"/>
  <c r="G33" i="3"/>
  <c r="J61" i="4"/>
  <c r="K61" i="4" s="1"/>
  <c r="F46" i="17"/>
  <c r="H46" i="17" s="1"/>
  <c r="J54" i="4"/>
  <c r="K54" i="4" s="1"/>
  <c r="J13" i="4"/>
  <c r="K13" i="4" s="1"/>
  <c r="H56" i="4"/>
  <c r="J60" i="4"/>
  <c r="K60" i="4" s="1"/>
  <c r="J51" i="4"/>
  <c r="K51" i="4" s="1"/>
  <c r="F25" i="3"/>
  <c r="H13" i="3"/>
  <c r="H36" i="3"/>
  <c r="F13" i="17"/>
  <c r="H13" i="17" s="1"/>
  <c r="H61" i="3"/>
  <c r="H17" i="3"/>
  <c r="H25" i="3"/>
  <c r="F29" i="3"/>
  <c r="F62" i="3"/>
  <c r="E13" i="17"/>
  <c r="G13" i="17" s="1"/>
  <c r="F20" i="3"/>
  <c r="H43" i="3"/>
  <c r="F38" i="3"/>
  <c r="H20" i="3"/>
  <c r="F15" i="3"/>
  <c r="F13" i="3"/>
  <c r="H21" i="3"/>
  <c r="F59" i="3"/>
  <c r="H50" i="3"/>
  <c r="H14" i="3"/>
  <c r="H42" i="3"/>
  <c r="K46" i="16"/>
  <c r="N46" i="16" s="1"/>
  <c r="F44" i="5"/>
  <c r="H44" i="5" s="1"/>
  <c r="H22" i="3"/>
  <c r="F42" i="3"/>
  <c r="H51" i="3"/>
  <c r="H55" i="3"/>
  <c r="F37" i="3"/>
  <c r="F49" i="3"/>
  <c r="H35" i="3"/>
  <c r="F61" i="3"/>
  <c r="F44" i="3"/>
  <c r="F39" i="3"/>
  <c r="F14" i="3"/>
  <c r="F30" i="3"/>
  <c r="H52" i="3"/>
  <c r="F18" i="3"/>
  <c r="H54" i="3"/>
  <c r="F35" i="3"/>
  <c r="H23" i="3"/>
  <c r="F40" i="3"/>
  <c r="F41" i="3"/>
  <c r="F19" i="3"/>
  <c r="F58" i="3"/>
  <c r="F60" i="3"/>
  <c r="H26" i="3"/>
  <c r="F43" i="3"/>
  <c r="F22" i="3"/>
  <c r="F23" i="3"/>
  <c r="H38" i="3"/>
  <c r="F21" i="3"/>
  <c r="H24" i="3"/>
  <c r="H32" i="3"/>
  <c r="F52" i="3"/>
  <c r="J40" i="4"/>
  <c r="K40" i="4" s="1"/>
  <c r="H19" i="3"/>
  <c r="H49" i="3"/>
  <c r="H12" i="3"/>
  <c r="F50" i="3"/>
  <c r="F32" i="3"/>
  <c r="H37" i="3"/>
  <c r="F46" i="3"/>
  <c r="H46" i="3"/>
  <c r="H59" i="3"/>
  <c r="F39" i="17"/>
  <c r="H39" i="17" s="1"/>
  <c r="E52" i="17"/>
  <c r="G52" i="17" s="1"/>
  <c r="J19" i="4"/>
  <c r="K19" i="4" s="1"/>
  <c r="F52" i="17"/>
  <c r="H52" i="17" s="1"/>
  <c r="E45" i="17"/>
  <c r="G45" i="17" s="1"/>
  <c r="F45" i="17"/>
  <c r="H45" i="17" s="1"/>
  <c r="E26" i="17"/>
  <c r="G26" i="17" s="1"/>
  <c r="J12" i="4"/>
  <c r="K12" i="4" s="1"/>
  <c r="J55" i="4"/>
  <c r="K55" i="4" s="1"/>
  <c r="F32" i="17"/>
  <c r="H32" i="17" s="1"/>
  <c r="E23" i="17"/>
  <c r="G23" i="17" s="1"/>
  <c r="J36" i="4"/>
  <c r="K36" i="4" s="1"/>
  <c r="E24" i="17"/>
  <c r="G24" i="17" s="1"/>
  <c r="J35" i="4"/>
  <c r="K35" i="4" s="1"/>
  <c r="F24" i="17"/>
  <c r="H24" i="17" s="1"/>
  <c r="F15" i="17"/>
  <c r="H15" i="17" s="1"/>
  <c r="F40" i="17"/>
  <c r="H40" i="17" s="1"/>
  <c r="E35" i="17"/>
  <c r="G35" i="17" s="1"/>
  <c r="J20" i="4"/>
  <c r="K20" i="4" s="1"/>
  <c r="F14" i="17"/>
  <c r="H14" i="17" s="1"/>
  <c r="F60" i="5"/>
  <c r="H60" i="5" s="1"/>
  <c r="E8" i="5"/>
  <c r="H4" i="14"/>
  <c r="K10" i="4"/>
  <c r="K4" i="4"/>
  <c r="F8" i="5"/>
  <c r="J10" i="4"/>
  <c r="E62" i="3"/>
  <c r="E63" i="3" s="1"/>
  <c r="E63" i="1"/>
  <c r="L63" i="1" s="1"/>
  <c r="M63" i="1" s="1"/>
  <c r="E27" i="1"/>
  <c r="L27" i="1" s="1"/>
  <c r="M27" i="1" s="1"/>
  <c r="E26" i="3"/>
  <c r="E27" i="3" s="1"/>
  <c r="L27" i="4"/>
  <c r="H27" i="4"/>
  <c r="J14" i="4"/>
  <c r="K14" i="4" s="1"/>
  <c r="K23" i="5"/>
  <c r="L12" i="5"/>
  <c r="K11" i="16" s="1"/>
  <c r="N11" i="16" s="1"/>
  <c r="L62" i="5"/>
  <c r="L37" i="5"/>
  <c r="I48" i="5"/>
  <c r="I70" i="5"/>
  <c r="F50" i="5"/>
  <c r="H50" i="5" s="1"/>
  <c r="F43" i="5"/>
  <c r="H43" i="5" s="1"/>
  <c r="L15" i="5"/>
  <c r="K14" i="16" s="1"/>
  <c r="N14" i="16" s="1"/>
  <c r="K29" i="16"/>
  <c r="N29" i="16" s="1"/>
  <c r="I62" i="5"/>
  <c r="K15" i="5"/>
  <c r="I18" i="5"/>
  <c r="E17" i="2"/>
  <c r="K17" i="2" s="1"/>
  <c r="L17" i="2" s="1"/>
  <c r="K12" i="5"/>
  <c r="J62" i="5"/>
  <c r="F68" i="5"/>
  <c r="H68" i="5" s="1"/>
  <c r="K24" i="5"/>
  <c r="I55" i="5"/>
  <c r="J37" i="5"/>
  <c r="I37" i="5"/>
  <c r="K13" i="5"/>
  <c r="K25" i="5"/>
  <c r="J48" i="5"/>
  <c r="J55" i="5"/>
  <c r="J70" i="5"/>
  <c r="L14" i="5"/>
  <c r="K13" i="16" s="1"/>
  <c r="N13" i="16" s="1"/>
  <c r="J32" i="5"/>
  <c r="N35" i="16"/>
  <c r="K36" i="16"/>
  <c r="L70" i="5"/>
  <c r="L23" i="5"/>
  <c r="K22" i="16" s="1"/>
  <c r="J18" i="5"/>
  <c r="L13" i="5"/>
  <c r="K12" i="16" s="1"/>
  <c r="N12" i="16" s="1"/>
  <c r="F21" i="5"/>
  <c r="F26" i="5" s="1"/>
  <c r="L25" i="5"/>
  <c r="K24" i="16" s="1"/>
  <c r="N24" i="16" s="1"/>
  <c r="N59" i="16"/>
  <c r="K61" i="16"/>
  <c r="F18" i="5"/>
  <c r="K66" i="16"/>
  <c r="N66" i="16" s="1"/>
  <c r="N69" i="16" s="1"/>
  <c r="E31" i="17"/>
  <c r="G31" i="17" s="1"/>
  <c r="J39" i="4"/>
  <c r="K39" i="4" s="1"/>
  <c r="F53" i="17"/>
  <c r="H53" i="17" s="1"/>
  <c r="J50" i="4"/>
  <c r="K50" i="4" s="1"/>
  <c r="J21" i="4"/>
  <c r="K21" i="4" s="1"/>
  <c r="J23" i="4"/>
  <c r="K23" i="4" s="1"/>
  <c r="J42" i="4"/>
  <c r="K42" i="4" s="1"/>
  <c r="J53" i="4"/>
  <c r="K53" i="4" s="1"/>
  <c r="J31" i="4"/>
  <c r="K31" i="4" s="1"/>
  <c r="N13" i="17"/>
  <c r="O13" i="17" s="1"/>
  <c r="N22" i="17"/>
  <c r="O22" i="17" s="1"/>
  <c r="N15" i="17"/>
  <c r="O15" i="17" s="1"/>
  <c r="N40" i="17"/>
  <c r="O40" i="17" s="1"/>
  <c r="G27" i="3"/>
  <c r="J15" i="4"/>
  <c r="K15" i="4" s="1"/>
  <c r="K29" i="17"/>
  <c r="K42" i="17"/>
  <c r="K50" i="17"/>
  <c r="K56" i="17" s="1"/>
  <c r="G63" i="3"/>
  <c r="J37" i="4"/>
  <c r="K37" i="4" s="1"/>
  <c r="G56" i="3"/>
  <c r="O30" i="17"/>
  <c r="K58" i="17"/>
  <c r="K63" i="17" s="1"/>
  <c r="J59" i="4"/>
  <c r="K59" i="4" s="1"/>
  <c r="O21" i="17"/>
  <c r="J29" i="4"/>
  <c r="K29" i="4" s="1"/>
  <c r="J22" i="4"/>
  <c r="K22" i="4" s="1"/>
  <c r="N25" i="17"/>
  <c r="O25" i="17" s="1"/>
  <c r="N41" i="17"/>
  <c r="O41" i="17" s="1"/>
  <c r="N20" i="17"/>
  <c r="O20" i="17" s="1"/>
  <c r="N38" i="17"/>
  <c r="O38" i="17" s="1"/>
  <c r="N60" i="17"/>
  <c r="O60" i="17" s="1"/>
  <c r="N35" i="17"/>
  <c r="O35" i="17" s="1"/>
  <c r="N43" i="17"/>
  <c r="O43" i="17" s="1"/>
  <c r="N51" i="17"/>
  <c r="O51" i="17" s="1"/>
  <c r="N14" i="17"/>
  <c r="O14" i="17" s="1"/>
  <c r="K27" i="17"/>
  <c r="N59" i="17"/>
  <c r="O59" i="17" s="1"/>
  <c r="N44" i="17"/>
  <c r="O44" i="17" s="1"/>
  <c r="N45" i="17"/>
  <c r="O45" i="17" s="1"/>
  <c r="N19" i="17"/>
  <c r="O19" i="17" s="1"/>
  <c r="N53" i="17"/>
  <c r="N61" i="17"/>
  <c r="O61" i="17" s="1"/>
  <c r="J58" i="4"/>
  <c r="K58" i="4" s="1"/>
  <c r="J18" i="4"/>
  <c r="K18" i="4" s="1"/>
  <c r="N49" i="16"/>
  <c r="H18" i="5"/>
  <c r="L17" i="5"/>
  <c r="K46" i="17"/>
  <c r="J46" i="4"/>
  <c r="K46" i="4" s="1"/>
  <c r="G47" i="3"/>
  <c r="N41" i="16"/>
  <c r="J25" i="4"/>
  <c r="K25" i="4" s="1"/>
  <c r="F25" i="17"/>
  <c r="H25" i="17" s="1"/>
  <c r="K51" i="16"/>
  <c r="N51" i="16" s="1"/>
  <c r="L55" i="5"/>
  <c r="F52" i="5"/>
  <c r="H52" i="5" s="1"/>
  <c r="F63" i="16"/>
  <c r="F35" i="2"/>
  <c r="F42" i="16"/>
  <c r="H42" i="16" s="1"/>
  <c r="F21" i="1"/>
  <c r="F41" i="16"/>
  <c r="H41" i="16" s="1"/>
  <c r="F54" i="1"/>
  <c r="F41" i="1"/>
  <c r="F30" i="5"/>
  <c r="H30" i="5" s="1"/>
  <c r="F64" i="2"/>
  <c r="F45" i="1"/>
  <c r="E45" i="4" s="1"/>
  <c r="F31" i="1"/>
  <c r="F46" i="2"/>
  <c r="F20" i="1"/>
  <c r="E65" i="16"/>
  <c r="G65" i="16" s="1"/>
  <c r="F37" i="1"/>
  <c r="E30" i="16"/>
  <c r="G30" i="16" s="1"/>
  <c r="F52" i="2"/>
  <c r="F35" i="16"/>
  <c r="H35" i="16" s="1"/>
  <c r="F35" i="5"/>
  <c r="H35" i="5" s="1"/>
  <c r="F64" i="5"/>
  <c r="H64" i="5" s="1"/>
  <c r="F29" i="16"/>
  <c r="H29" i="16" s="1"/>
  <c r="F58" i="1"/>
  <c r="F67" i="16"/>
  <c r="H67" i="16" s="1"/>
  <c r="F59" i="16"/>
  <c r="H59" i="16" s="1"/>
  <c r="F58" i="16"/>
  <c r="H58" i="16" s="1"/>
  <c r="E35" i="16"/>
  <c r="G35" i="16" s="1"/>
  <c r="F30" i="1"/>
  <c r="F33" i="16"/>
  <c r="F32" i="1"/>
  <c r="G32" i="1" s="1"/>
  <c r="P6" i="17"/>
  <c r="F29" i="2"/>
  <c r="E45" i="16"/>
  <c r="G45" i="16" s="1"/>
  <c r="F24" i="1"/>
  <c r="F63" i="2"/>
  <c r="E53" i="16"/>
  <c r="G53" i="16" s="1"/>
  <c r="F29" i="1"/>
  <c r="F45" i="16"/>
  <c r="H45" i="16" s="1"/>
  <c r="F34" i="2"/>
  <c r="F44" i="2"/>
  <c r="F64" i="16"/>
  <c r="H64" i="16" s="1"/>
  <c r="F50" i="2"/>
  <c r="F61" i="1"/>
  <c r="F54" i="5"/>
  <c r="H54" i="5" s="1"/>
  <c r="F65" i="5"/>
  <c r="H65" i="5" s="1"/>
  <c r="F61" i="5"/>
  <c r="H61" i="5" s="1"/>
  <c r="F30" i="16"/>
  <c r="H30" i="16" s="1"/>
  <c r="F49" i="16"/>
  <c r="F59" i="5"/>
  <c r="H59" i="5" s="1"/>
  <c r="F50" i="16"/>
  <c r="H50" i="16" s="1"/>
  <c r="F51" i="2"/>
  <c r="E59" i="16"/>
  <c r="G59" i="16" s="1"/>
  <c r="F42" i="2"/>
  <c r="G42" i="2" s="1"/>
  <c r="F51" i="16"/>
  <c r="H51" i="16" s="1"/>
  <c r="F23" i="1"/>
  <c r="E29" i="16"/>
  <c r="E33" i="16"/>
  <c r="F68" i="16"/>
  <c r="H68" i="16" s="1"/>
  <c r="F44" i="1"/>
  <c r="F45" i="2"/>
  <c r="F50" i="1"/>
  <c r="F27" i="2"/>
  <c r="E34" i="16"/>
  <c r="G34" i="16" s="1"/>
  <c r="F49" i="2"/>
  <c r="E50" i="5" s="1"/>
  <c r="F52" i="16"/>
  <c r="H52" i="16" s="1"/>
  <c r="F34" i="16"/>
  <c r="H34" i="16" s="1"/>
  <c r="F40" i="1"/>
  <c r="E60" i="16"/>
  <c r="G60" i="16" s="1"/>
  <c r="F27" i="16"/>
  <c r="H27" i="16" s="1"/>
  <c r="F35" i="1"/>
  <c r="G35" i="1" s="1"/>
  <c r="H35" i="1" s="1"/>
  <c r="F34" i="5"/>
  <c r="H34" i="5" s="1"/>
  <c r="F31" i="5"/>
  <c r="H31" i="5" s="1"/>
  <c r="F16" i="16"/>
  <c r="F60" i="16"/>
  <c r="H60" i="16" s="1"/>
  <c r="F14" i="1"/>
  <c r="F43" i="2"/>
  <c r="E44" i="5" s="1"/>
  <c r="F44" i="16"/>
  <c r="H44" i="16" s="1"/>
  <c r="F25" i="1"/>
  <c r="E25" i="4" s="1"/>
  <c r="F65" i="2"/>
  <c r="G65" i="2" s="1"/>
  <c r="G66" i="5" s="1"/>
  <c r="F19" i="1"/>
  <c r="F66" i="16"/>
  <c r="H66" i="16" s="1"/>
  <c r="F43" i="16"/>
  <c r="H43" i="16" s="1"/>
  <c r="E57" i="16"/>
  <c r="F52" i="1"/>
  <c r="E43" i="16"/>
  <c r="G43" i="16" s="1"/>
  <c r="F16" i="2"/>
  <c r="G16" i="2" s="1"/>
  <c r="E46" i="16"/>
  <c r="G46" i="16" s="1"/>
  <c r="F60" i="2"/>
  <c r="F55" i="1"/>
  <c r="F13" i="1"/>
  <c r="F59" i="2"/>
  <c r="E41" i="16"/>
  <c r="F57" i="16"/>
  <c r="E49" i="16"/>
  <c r="G49" i="16" s="1"/>
  <c r="F26" i="1"/>
  <c r="F67" i="2"/>
  <c r="F51" i="1"/>
  <c r="F12" i="1"/>
  <c r="G12" i="1" s="1"/>
  <c r="F39" i="1"/>
  <c r="F30" i="2"/>
  <c r="F36" i="1"/>
  <c r="F62" i="1"/>
  <c r="F38" i="1"/>
  <c r="E67" i="16"/>
  <c r="G67" i="16" s="1"/>
  <c r="F15" i="1"/>
  <c r="F57" i="2"/>
  <c r="F17" i="1"/>
  <c r="F16" i="1"/>
  <c r="E16" i="4" s="1"/>
  <c r="F68" i="2"/>
  <c r="E52" i="16"/>
  <c r="G52" i="16" s="1"/>
  <c r="E50" i="16"/>
  <c r="G50" i="16" s="1"/>
  <c r="F33" i="2"/>
  <c r="F46" i="16"/>
  <c r="H46" i="16" s="1"/>
  <c r="F59" i="1"/>
  <c r="F28" i="5"/>
  <c r="H28" i="5" s="1"/>
  <c r="F66" i="5"/>
  <c r="H66" i="5" s="1"/>
  <c r="F36" i="5"/>
  <c r="H36" i="5" s="1"/>
  <c r="E16" i="16"/>
  <c r="F67" i="5"/>
  <c r="H67" i="5" s="1"/>
  <c r="E16" i="17"/>
  <c r="G16" i="17" s="1"/>
  <c r="J16" i="4"/>
  <c r="K16" i="4" s="1"/>
  <c r="F16" i="17"/>
  <c r="H16" i="17" s="1"/>
  <c r="E38" i="17"/>
  <c r="G38" i="17" s="1"/>
  <c r="J38" i="4"/>
  <c r="K38" i="4" s="1"/>
  <c r="F38" i="17"/>
  <c r="H38" i="17" s="1"/>
  <c r="F46" i="5"/>
  <c r="H46" i="5" s="1"/>
  <c r="L48" i="5"/>
  <c r="F49" i="17"/>
  <c r="H49" i="17" s="1"/>
  <c r="E49" i="17"/>
  <c r="G49" i="17" s="1"/>
  <c r="J49" i="4"/>
  <c r="F42" i="5"/>
  <c r="F51" i="5"/>
  <c r="H51" i="5" s="1"/>
  <c r="F45" i="5"/>
  <c r="H45" i="5" s="1"/>
  <c r="E59" i="17"/>
  <c r="J62" i="4"/>
  <c r="E62" i="17"/>
  <c r="G62" i="17" s="1"/>
  <c r="F62" i="17"/>
  <c r="H62" i="17" s="1"/>
  <c r="J43" i="4"/>
  <c r="K43" i="4" s="1"/>
  <c r="E43" i="17"/>
  <c r="N26" i="17"/>
  <c r="F69" i="5"/>
  <c r="H69" i="5" s="1"/>
  <c r="F19" i="17"/>
  <c r="H19" i="17" s="1"/>
  <c r="F17" i="17"/>
  <c r="E54" i="17"/>
  <c r="F54" i="17"/>
  <c r="H54" i="17" s="1"/>
  <c r="F41" i="17"/>
  <c r="H41" i="17" s="1"/>
  <c r="J41" i="4"/>
  <c r="K41" i="4" s="1"/>
  <c r="F55" i="17"/>
  <c r="H55" i="17" s="1"/>
  <c r="F58" i="17"/>
  <c r="J30" i="4"/>
  <c r="F30" i="17"/>
  <c r="E30" i="17"/>
  <c r="G30" i="17" s="1"/>
  <c r="E17" i="17"/>
  <c r="E44" i="17"/>
  <c r="G44" i="17" s="1"/>
  <c r="F44" i="17"/>
  <c r="H44" i="17" s="1"/>
  <c r="J44" i="4"/>
  <c r="K44" i="4" s="1"/>
  <c r="F21" i="17"/>
  <c r="H21" i="17" s="1"/>
  <c r="F59" i="17"/>
  <c r="H59" i="17" s="1"/>
  <c r="E29" i="17"/>
  <c r="E47" i="1"/>
  <c r="L47" i="1" s="1"/>
  <c r="M47" i="1" s="1"/>
  <c r="E7" i="16"/>
  <c r="N3" i="16"/>
  <c r="E8" i="17"/>
  <c r="G10" i="4"/>
  <c r="G7" i="16"/>
  <c r="F10" i="4"/>
  <c r="N4" i="17"/>
  <c r="G8" i="2"/>
  <c r="H8" i="5"/>
  <c r="H8" i="17"/>
  <c r="G8" i="17"/>
  <c r="H4" i="3"/>
  <c r="K4" i="5"/>
  <c r="F8" i="17"/>
  <c r="F8" i="2"/>
  <c r="H62" i="3"/>
  <c r="H39" i="3"/>
  <c r="F51" i="3"/>
  <c r="H58" i="3"/>
  <c r="H53" i="3"/>
  <c r="F36" i="3"/>
  <c r="F24" i="3"/>
  <c r="F53" i="3"/>
  <c r="F45" i="3"/>
  <c r="F54" i="3"/>
  <c r="E18" i="17"/>
  <c r="G18" i="17" s="1"/>
  <c r="F60" i="1"/>
  <c r="F58" i="5"/>
  <c r="H18" i="3"/>
  <c r="F17" i="3"/>
  <c r="F31" i="3"/>
  <c r="H44" i="3"/>
  <c r="H41" i="3"/>
  <c r="F12" i="3"/>
  <c r="F53" i="5"/>
  <c r="H53" i="5" s="1"/>
  <c r="H45" i="3"/>
  <c r="H31" i="3"/>
  <c r="H40" i="3"/>
  <c r="H15" i="3"/>
  <c r="F55" i="3" l="1"/>
  <c r="F56" i="3" s="1"/>
  <c r="F26" i="3"/>
  <c r="F27" i="3" s="1"/>
  <c r="N61" i="16"/>
  <c r="G66" i="2"/>
  <c r="G67" i="5" s="1"/>
  <c r="K67" i="5" s="1"/>
  <c r="N36" i="16"/>
  <c r="N22" i="16"/>
  <c r="N31" i="16"/>
  <c r="M26" i="16"/>
  <c r="M37" i="16" s="1"/>
  <c r="E22" i="4"/>
  <c r="E54" i="5"/>
  <c r="K54" i="5" s="1"/>
  <c r="G46" i="1"/>
  <c r="H46" i="1" s="1"/>
  <c r="G46" i="4" s="1"/>
  <c r="I37" i="2"/>
  <c r="G43" i="1"/>
  <c r="F43" i="4" s="1"/>
  <c r="L64" i="4"/>
  <c r="J39" i="5" s="1"/>
  <c r="G18" i="1"/>
  <c r="H18" i="1" s="1"/>
  <c r="H64" i="4"/>
  <c r="E53" i="4"/>
  <c r="N47" i="16"/>
  <c r="G42" i="1"/>
  <c r="F42" i="4" s="1"/>
  <c r="G49" i="1"/>
  <c r="H49" i="1" s="1"/>
  <c r="G58" i="2"/>
  <c r="G59" i="5" s="1"/>
  <c r="K59" i="5" s="1"/>
  <c r="K47" i="16"/>
  <c r="F63" i="3"/>
  <c r="E64" i="1"/>
  <c r="L64" i="1" s="1"/>
  <c r="M64" i="1" s="1"/>
  <c r="K47" i="17"/>
  <c r="N32" i="17"/>
  <c r="O32" i="17" s="1"/>
  <c r="N27" i="17"/>
  <c r="O27" i="17" s="1"/>
  <c r="N46" i="17"/>
  <c r="O46" i="17" s="1"/>
  <c r="F33" i="3"/>
  <c r="G25" i="1"/>
  <c r="H25" i="1" s="1"/>
  <c r="G25" i="4" s="1"/>
  <c r="H33" i="3"/>
  <c r="F47" i="3"/>
  <c r="G45" i="1"/>
  <c r="F45" i="4" s="1"/>
  <c r="H56" i="3"/>
  <c r="K31" i="16"/>
  <c r="F47" i="16"/>
  <c r="F35" i="4"/>
  <c r="E35" i="4"/>
  <c r="G16" i="1"/>
  <c r="F16" i="4" s="1"/>
  <c r="E47" i="16"/>
  <c r="E54" i="16"/>
  <c r="G54" i="16"/>
  <c r="E43" i="5"/>
  <c r="H47" i="16"/>
  <c r="E32" i="4"/>
  <c r="G69" i="16"/>
  <c r="F54" i="16"/>
  <c r="F69" i="2"/>
  <c r="E64" i="3"/>
  <c r="G64" i="3"/>
  <c r="E66" i="5"/>
  <c r="K66" i="5" s="1"/>
  <c r="F61" i="2"/>
  <c r="G43" i="2"/>
  <c r="G44" i="5" s="1"/>
  <c r="K44" i="5" s="1"/>
  <c r="K69" i="16"/>
  <c r="G49" i="2"/>
  <c r="G50" i="5" s="1"/>
  <c r="F27" i="5"/>
  <c r="H32" i="5"/>
  <c r="F48" i="5"/>
  <c r="H37" i="5"/>
  <c r="F70" i="5"/>
  <c r="F32" i="5"/>
  <c r="H42" i="5"/>
  <c r="H48" i="5" s="1"/>
  <c r="N54" i="16"/>
  <c r="H55" i="5"/>
  <c r="F37" i="5"/>
  <c r="F47" i="17"/>
  <c r="K27" i="4"/>
  <c r="N42" i="17"/>
  <c r="N29" i="17"/>
  <c r="K33" i="17"/>
  <c r="N58" i="17"/>
  <c r="N63" i="17" s="1"/>
  <c r="O63" i="17" s="1"/>
  <c r="J27" i="4"/>
  <c r="N50" i="17"/>
  <c r="N56" i="17" s="1"/>
  <c r="O53" i="17"/>
  <c r="E39" i="4"/>
  <c r="G39" i="1"/>
  <c r="H57" i="16"/>
  <c r="H61" i="16" s="1"/>
  <c r="F61" i="16"/>
  <c r="G14" i="1"/>
  <c r="E14" i="4"/>
  <c r="G41" i="2"/>
  <c r="G42" i="5" s="1"/>
  <c r="E42" i="5"/>
  <c r="F47" i="2"/>
  <c r="G29" i="1"/>
  <c r="E29" i="4"/>
  <c r="E41" i="4"/>
  <c r="G41" i="1"/>
  <c r="E69" i="5"/>
  <c r="G68" i="2"/>
  <c r="G69" i="5" s="1"/>
  <c r="E12" i="4"/>
  <c r="G17" i="5"/>
  <c r="G18" i="5" s="1"/>
  <c r="G17" i="2"/>
  <c r="G19" i="1"/>
  <c r="E19" i="4"/>
  <c r="G27" i="2"/>
  <c r="G28" i="5" s="1"/>
  <c r="E28" i="5"/>
  <c r="G33" i="16"/>
  <c r="G36" i="16" s="1"/>
  <c r="E36" i="16"/>
  <c r="E51" i="5"/>
  <c r="G50" i="2"/>
  <c r="G51" i="5" s="1"/>
  <c r="G52" i="2"/>
  <c r="G53" i="5" s="1"/>
  <c r="E53" i="5"/>
  <c r="E47" i="5"/>
  <c r="G46" i="2"/>
  <c r="G47" i="5" s="1"/>
  <c r="E54" i="4"/>
  <c r="G54" i="1"/>
  <c r="G35" i="2"/>
  <c r="G36" i="5" s="1"/>
  <c r="E36" i="5"/>
  <c r="K54" i="16"/>
  <c r="H27" i="3"/>
  <c r="H47" i="3"/>
  <c r="H47" i="17"/>
  <c r="F17" i="2"/>
  <c r="H49" i="16"/>
  <c r="H54" i="16" s="1"/>
  <c r="H53" i="1"/>
  <c r="G53" i="4" s="1"/>
  <c r="F53" i="4"/>
  <c r="G59" i="1"/>
  <c r="E59" i="4"/>
  <c r="E38" i="4"/>
  <c r="G38" i="1"/>
  <c r="E51" i="4"/>
  <c r="G51" i="1"/>
  <c r="E60" i="5"/>
  <c r="G59" i="2"/>
  <c r="G60" i="5" s="1"/>
  <c r="F17" i="16"/>
  <c r="F26" i="16" s="1"/>
  <c r="H16" i="16"/>
  <c r="H17" i="16" s="1"/>
  <c r="H26" i="16" s="1"/>
  <c r="E40" i="4"/>
  <c r="G40" i="1"/>
  <c r="G50" i="1"/>
  <c r="E50" i="4"/>
  <c r="G63" i="2"/>
  <c r="E64" i="5"/>
  <c r="H33" i="16"/>
  <c r="H36" i="16" s="1"/>
  <c r="F36" i="16"/>
  <c r="E58" i="4"/>
  <c r="G58" i="1"/>
  <c r="E31" i="4"/>
  <c r="G31" i="1"/>
  <c r="H63" i="16"/>
  <c r="H69" i="16" s="1"/>
  <c r="F69" i="16"/>
  <c r="E17" i="5"/>
  <c r="E18" i="5" s="1"/>
  <c r="G17" i="1"/>
  <c r="E17" i="4"/>
  <c r="E62" i="4"/>
  <c r="G62" i="1"/>
  <c r="G67" i="2"/>
  <c r="G68" i="5" s="1"/>
  <c r="E68" i="5"/>
  <c r="E13" i="4"/>
  <c r="G13" i="1"/>
  <c r="G52" i="1"/>
  <c r="E52" i="4"/>
  <c r="E46" i="5"/>
  <c r="G45" i="2"/>
  <c r="G46" i="5" s="1"/>
  <c r="G29" i="16"/>
  <c r="G31" i="16" s="1"/>
  <c r="E31" i="16"/>
  <c r="E52" i="5"/>
  <c r="G51" i="2"/>
  <c r="G52" i="5" s="1"/>
  <c r="G44" i="2"/>
  <c r="G45" i="5" s="1"/>
  <c r="E45" i="5"/>
  <c r="G24" i="1"/>
  <c r="E24" i="4"/>
  <c r="E30" i="4"/>
  <c r="G30" i="1"/>
  <c r="F31" i="16"/>
  <c r="G37" i="1"/>
  <c r="E37" i="4"/>
  <c r="H56" i="17"/>
  <c r="H63" i="3"/>
  <c r="G41" i="16"/>
  <c r="G47" i="16" s="1"/>
  <c r="H70" i="5"/>
  <c r="E69" i="16"/>
  <c r="E17" i="16"/>
  <c r="E26" i="16" s="1"/>
  <c r="G16" i="16"/>
  <c r="G17" i="16" s="1"/>
  <c r="G26" i="16" s="1"/>
  <c r="G33" i="2"/>
  <c r="F36" i="2"/>
  <c r="E34" i="5"/>
  <c r="E58" i="5"/>
  <c r="G57" i="2"/>
  <c r="G58" i="5" s="1"/>
  <c r="G36" i="1"/>
  <c r="E36" i="4"/>
  <c r="E26" i="4"/>
  <c r="G26" i="1"/>
  <c r="E55" i="4"/>
  <c r="G55" i="1"/>
  <c r="E61" i="16"/>
  <c r="G57" i="16"/>
  <c r="G61" i="16" s="1"/>
  <c r="G44" i="1"/>
  <c r="E44" i="4"/>
  <c r="E23" i="4"/>
  <c r="G23" i="1"/>
  <c r="E35" i="5"/>
  <c r="G34" i="2"/>
  <c r="G35" i="5" s="1"/>
  <c r="G64" i="2"/>
  <c r="G65" i="5" s="1"/>
  <c r="E65" i="5"/>
  <c r="H22" i="1"/>
  <c r="G22" i="4" s="1"/>
  <c r="F22" i="4"/>
  <c r="F54" i="2"/>
  <c r="H31" i="16"/>
  <c r="J56" i="4"/>
  <c r="K49" i="4"/>
  <c r="K56" i="4" s="1"/>
  <c r="G15" i="1"/>
  <c r="E15" i="4"/>
  <c r="G30" i="2"/>
  <c r="G31" i="5" s="1"/>
  <c r="E31" i="5"/>
  <c r="E61" i="5"/>
  <c r="G60" i="2"/>
  <c r="G61" i="5" s="1"/>
  <c r="G61" i="1"/>
  <c r="E61" i="4"/>
  <c r="E30" i="5"/>
  <c r="F31" i="2"/>
  <c r="G29" i="2"/>
  <c r="E20" i="4"/>
  <c r="G20" i="1"/>
  <c r="G21" i="1"/>
  <c r="E21" i="4"/>
  <c r="K16" i="16"/>
  <c r="L18" i="5"/>
  <c r="G60" i="1"/>
  <c r="E60" i="4"/>
  <c r="K62" i="4"/>
  <c r="K63" i="4" s="1"/>
  <c r="J63" i="4"/>
  <c r="K30" i="4"/>
  <c r="K33" i="4" s="1"/>
  <c r="J33" i="4"/>
  <c r="H17" i="17"/>
  <c r="H27" i="17" s="1"/>
  <c r="F27" i="17"/>
  <c r="G59" i="17"/>
  <c r="G63" i="17" s="1"/>
  <c r="E63" i="17"/>
  <c r="G43" i="5"/>
  <c r="G43" i="17"/>
  <c r="G47" i="17" s="1"/>
  <c r="E47" i="17"/>
  <c r="F56" i="17"/>
  <c r="F32" i="4"/>
  <c r="H32" i="1"/>
  <c r="G32" i="4" s="1"/>
  <c r="G17" i="17"/>
  <c r="G27" i="17" s="1"/>
  <c r="E27" i="17"/>
  <c r="F55" i="5"/>
  <c r="K47" i="4"/>
  <c r="G29" i="17"/>
  <c r="G33" i="17" s="1"/>
  <c r="E33" i="17"/>
  <c r="H58" i="17"/>
  <c r="H63" i="17" s="1"/>
  <c r="F63" i="17"/>
  <c r="G35" i="4"/>
  <c r="F33" i="17"/>
  <c r="H30" i="17"/>
  <c r="H33" i="17" s="1"/>
  <c r="F62" i="5"/>
  <c r="H58" i="5"/>
  <c r="H62" i="5" s="1"/>
  <c r="G54" i="17"/>
  <c r="G56" i="17" s="1"/>
  <c r="E56" i="17"/>
  <c r="O26" i="17"/>
  <c r="J47" i="4"/>
  <c r="E38" i="2" l="1"/>
  <c r="K38" i="2" s="1"/>
  <c r="L38" i="2" s="1"/>
  <c r="J37" i="2"/>
  <c r="J39" i="2" s="1"/>
  <c r="I39" i="2"/>
  <c r="F46" i="4"/>
  <c r="N47" i="17"/>
  <c r="N33" i="17"/>
  <c r="O33" i="17" s="1"/>
  <c r="H43" i="1"/>
  <c r="G43" i="4" s="1"/>
  <c r="H45" i="1"/>
  <c r="G45" i="4" s="1"/>
  <c r="F18" i="4"/>
  <c r="F49" i="4"/>
  <c r="O29" i="17"/>
  <c r="O42" i="17"/>
  <c r="H42" i="1"/>
  <c r="G42" i="4" s="1"/>
  <c r="F25" i="4"/>
  <c r="H16" i="1"/>
  <c r="G16" i="4" s="1"/>
  <c r="K64" i="17"/>
  <c r="K38" i="16" s="1"/>
  <c r="O50" i="17"/>
  <c r="G47" i="1"/>
  <c r="F37" i="16"/>
  <c r="K36" i="5"/>
  <c r="K53" i="5"/>
  <c r="K28" i="5"/>
  <c r="K42" i="5"/>
  <c r="E37" i="16"/>
  <c r="H64" i="3"/>
  <c r="G48" i="5"/>
  <c r="E70" i="5"/>
  <c r="E37" i="5"/>
  <c r="G47" i="2"/>
  <c r="K45" i="5"/>
  <c r="F38" i="5"/>
  <c r="K61" i="5"/>
  <c r="E55" i="5"/>
  <c r="K31" i="5"/>
  <c r="E32" i="5"/>
  <c r="K17" i="5"/>
  <c r="K18" i="5" s="1"/>
  <c r="K58" i="5"/>
  <c r="K47" i="5"/>
  <c r="K68" i="5"/>
  <c r="O56" i="17"/>
  <c r="O58" i="17"/>
  <c r="E64" i="17"/>
  <c r="E38" i="16" s="1"/>
  <c r="H21" i="1"/>
  <c r="G21" i="4" s="1"/>
  <c r="F21" i="4"/>
  <c r="H26" i="1"/>
  <c r="G26" i="4" s="1"/>
  <c r="F26" i="4"/>
  <c r="H37" i="1"/>
  <c r="F37" i="4"/>
  <c r="H31" i="1"/>
  <c r="G31" i="4" s="1"/>
  <c r="F31" i="4"/>
  <c r="H38" i="1"/>
  <c r="G38" i="4" s="1"/>
  <c r="F38" i="4"/>
  <c r="K51" i="5"/>
  <c r="H19" i="1"/>
  <c r="G19" i="4" s="1"/>
  <c r="F19" i="4"/>
  <c r="K69" i="5"/>
  <c r="H14" i="1"/>
  <c r="G14" i="4" s="1"/>
  <c r="F14" i="4"/>
  <c r="F24" i="4"/>
  <c r="H24" i="1"/>
  <c r="G24" i="4" s="1"/>
  <c r="F17" i="4"/>
  <c r="H17" i="1"/>
  <c r="G17" i="4" s="1"/>
  <c r="F54" i="4"/>
  <c r="H54" i="1"/>
  <c r="G54" i="4" s="1"/>
  <c r="F29" i="4"/>
  <c r="H29" i="1"/>
  <c r="E62" i="5"/>
  <c r="K17" i="16"/>
  <c r="N16" i="16"/>
  <c r="H20" i="1"/>
  <c r="G20" i="4" s="1"/>
  <c r="F20" i="4"/>
  <c r="F61" i="4"/>
  <c r="H61" i="1"/>
  <c r="G61" i="4" s="1"/>
  <c r="H15" i="1"/>
  <c r="F15" i="4"/>
  <c r="H37" i="16"/>
  <c r="K65" i="5"/>
  <c r="H44" i="1"/>
  <c r="G44" i="4" s="1"/>
  <c r="F44" i="4"/>
  <c r="K46" i="5"/>
  <c r="G64" i="5"/>
  <c r="G70" i="5" s="1"/>
  <c r="G69" i="2"/>
  <c r="H41" i="1"/>
  <c r="G41" i="4" s="1"/>
  <c r="F41" i="4"/>
  <c r="K64" i="4"/>
  <c r="H39" i="5" s="1"/>
  <c r="G55" i="5"/>
  <c r="G33" i="1"/>
  <c r="G27" i="1"/>
  <c r="G34" i="5"/>
  <c r="G36" i="2"/>
  <c r="H30" i="1"/>
  <c r="F30" i="4"/>
  <c r="H62" i="1"/>
  <c r="F62" i="4"/>
  <c r="F58" i="4"/>
  <c r="H58" i="1"/>
  <c r="G58" i="4" s="1"/>
  <c r="G18" i="4"/>
  <c r="G37" i="16"/>
  <c r="G54" i="2"/>
  <c r="J64" i="4"/>
  <c r="F39" i="5" s="1"/>
  <c r="E48" i="5"/>
  <c r="G56" i="1"/>
  <c r="G31" i="2"/>
  <c r="G30" i="5"/>
  <c r="G32" i="5" s="1"/>
  <c r="G61" i="2"/>
  <c r="K35" i="5"/>
  <c r="F36" i="4"/>
  <c r="H36" i="1"/>
  <c r="K52" i="5"/>
  <c r="F52" i="4"/>
  <c r="H52" i="1"/>
  <c r="G52" i="4" s="1"/>
  <c r="H50" i="1"/>
  <c r="F50" i="4"/>
  <c r="K60" i="5"/>
  <c r="H59" i="1"/>
  <c r="G59" i="4" s="1"/>
  <c r="F59" i="4"/>
  <c r="F12" i="4"/>
  <c r="H12" i="1"/>
  <c r="G12" i="4" s="1"/>
  <c r="F39" i="4"/>
  <c r="H39" i="1"/>
  <c r="G49" i="4"/>
  <c r="F23" i="4"/>
  <c r="H23" i="1"/>
  <c r="G23" i="4" s="1"/>
  <c r="F55" i="4"/>
  <c r="H55" i="1"/>
  <c r="G55" i="4" s="1"/>
  <c r="G62" i="5"/>
  <c r="H13" i="1"/>
  <c r="F13" i="4"/>
  <c r="F40" i="4"/>
  <c r="H40" i="1"/>
  <c r="F51" i="4"/>
  <c r="H51" i="1"/>
  <c r="G51" i="4" s="1"/>
  <c r="G64" i="17"/>
  <c r="G38" i="16" s="1"/>
  <c r="F64" i="17"/>
  <c r="F38" i="16" s="1"/>
  <c r="H64" i="17"/>
  <c r="H38" i="16" s="1"/>
  <c r="K43" i="5"/>
  <c r="K50" i="5"/>
  <c r="F64" i="3"/>
  <c r="H60" i="1"/>
  <c r="F60" i="4"/>
  <c r="G63" i="1"/>
  <c r="N64" i="17" l="1"/>
  <c r="O64" i="17" s="1"/>
  <c r="I55" i="2"/>
  <c r="O47" i="17"/>
  <c r="H39" i="16"/>
  <c r="H55" i="16" s="1"/>
  <c r="E39" i="16"/>
  <c r="E55" i="16" s="1"/>
  <c r="G39" i="16"/>
  <c r="G55" i="16" s="1"/>
  <c r="F47" i="4"/>
  <c r="G64" i="1"/>
  <c r="F38" i="2" s="1"/>
  <c r="E39" i="5" s="1"/>
  <c r="F40" i="5"/>
  <c r="F56" i="5" s="1"/>
  <c r="K62" i="5"/>
  <c r="K48" i="5"/>
  <c r="F63" i="4"/>
  <c r="F27" i="4"/>
  <c r="L39" i="5"/>
  <c r="K30" i="5"/>
  <c r="K32" i="5" s="1"/>
  <c r="G62" i="4"/>
  <c r="N17" i="16"/>
  <c r="H27" i="1"/>
  <c r="G50" i="4"/>
  <c r="G56" i="4" s="1"/>
  <c r="H56" i="1"/>
  <c r="G36" i="4"/>
  <c r="H47" i="1"/>
  <c r="F56" i="4"/>
  <c r="G37" i="4"/>
  <c r="G15" i="4"/>
  <c r="G39" i="4"/>
  <c r="G30" i="4"/>
  <c r="K64" i="5"/>
  <c r="K70" i="5" s="1"/>
  <c r="L38" i="16"/>
  <c r="L39" i="16" s="1"/>
  <c r="L55" i="16" s="1"/>
  <c r="G29" i="4"/>
  <c r="H33" i="1"/>
  <c r="G13" i="4"/>
  <c r="K55" i="5"/>
  <c r="G40" i="4"/>
  <c r="K34" i="5"/>
  <c r="K37" i="5" s="1"/>
  <c r="G37" i="5"/>
  <c r="F33" i="4"/>
  <c r="M38" i="16"/>
  <c r="F39" i="16"/>
  <c r="F55" i="16" s="1"/>
  <c r="G60" i="4"/>
  <c r="H63" i="1"/>
  <c r="J55" i="2" l="1"/>
  <c r="H64" i="1"/>
  <c r="G38" i="2" s="1"/>
  <c r="G39" i="5" s="1"/>
  <c r="F64" i="4"/>
  <c r="G63" i="4"/>
  <c r="G33" i="4"/>
  <c r="G27" i="4"/>
  <c r="G47" i="4"/>
  <c r="M39" i="16"/>
  <c r="M55" i="16" s="1"/>
  <c r="N38" i="16"/>
  <c r="G64" i="4" l="1"/>
  <c r="K39" i="5"/>
  <c r="E21" i="5"/>
  <c r="E26" i="5" s="1"/>
  <c r="E27" i="5" s="1"/>
  <c r="E38" i="5" s="1"/>
  <c r="E40" i="5" s="1"/>
  <c r="E56" i="5" s="1"/>
  <c r="E20" i="5"/>
  <c r="F25" i="2"/>
  <c r="F26" i="2" s="1"/>
  <c r="F37" i="2" s="1"/>
  <c r="G20" i="5"/>
  <c r="H21" i="5" s="1"/>
  <c r="G21" i="5"/>
  <c r="G26" i="5" s="1"/>
  <c r="G27" i="5" s="1"/>
  <c r="G38" i="5" s="1"/>
  <c r="G40" i="5" s="1"/>
  <c r="G56" i="5" s="1"/>
  <c r="E20" i="2"/>
  <c r="K20" i="2" s="1"/>
  <c r="L20" i="2" s="1"/>
  <c r="G25" i="2"/>
  <c r="G26" i="2" s="1"/>
  <c r="G37" i="2" s="1"/>
  <c r="G39" i="2" s="1"/>
  <c r="G55" i="2" s="1"/>
  <c r="I22" i="5"/>
  <c r="K22" i="5" s="1"/>
  <c r="E21" i="2"/>
  <c r="K21" i="2" s="1"/>
  <c r="L21" i="2" s="1"/>
  <c r="H25" i="2"/>
  <c r="H26" i="2" s="1"/>
  <c r="H37" i="2" s="1"/>
  <c r="H39" i="2" s="1"/>
  <c r="H55" i="2" s="1"/>
  <c r="H26" i="5" l="1"/>
  <c r="H27" i="5" s="1"/>
  <c r="H38" i="5" s="1"/>
  <c r="H40" i="5" s="1"/>
  <c r="H56" i="5" s="1"/>
  <c r="L21" i="5"/>
  <c r="F39" i="2"/>
  <c r="K21" i="5"/>
  <c r="K20" i="5" s="1"/>
  <c r="I26" i="5"/>
  <c r="I27" i="5" s="1"/>
  <c r="I38" i="5" s="1"/>
  <c r="I40" i="5" s="1"/>
  <c r="I56" i="5" s="1"/>
  <c r="E25" i="2"/>
  <c r="K20" i="16" l="1"/>
  <c r="L20" i="5"/>
  <c r="K19" i="16" s="1"/>
  <c r="F55" i="2"/>
  <c r="K26" i="5"/>
  <c r="K27" i="5" s="1"/>
  <c r="K38" i="5" s="1"/>
  <c r="K40" i="5" s="1"/>
  <c r="K56" i="5" s="1"/>
  <c r="K25" i="2"/>
  <c r="L25" i="2" s="1"/>
  <c r="E26" i="2"/>
  <c r="N20" i="16" l="1"/>
  <c r="K26" i="2"/>
  <c r="L26" i="2" s="1"/>
  <c r="E37" i="2"/>
  <c r="K37" i="2" l="1"/>
  <c r="L37" i="2" s="1"/>
  <c r="E39" i="2"/>
  <c r="K39" i="2" l="1"/>
  <c r="L39" i="2" s="1"/>
  <c r="E55" i="2"/>
  <c r="K55" i="2" s="1"/>
  <c r="L55" i="2" s="1"/>
  <c r="I20" i="5"/>
  <c r="J22" i="5" s="1"/>
  <c r="J26" i="5" l="1"/>
  <c r="J27" i="5" s="1"/>
  <c r="J38" i="5" s="1"/>
  <c r="J40" i="5" s="1"/>
  <c r="J56" i="5" s="1"/>
  <c r="L22" i="5"/>
  <c r="K21" i="16" l="1"/>
  <c r="L26" i="5"/>
  <c r="L27" i="5" s="1"/>
  <c r="L38" i="5" s="1"/>
  <c r="L40" i="5" s="1"/>
  <c r="L56" i="5" s="1"/>
  <c r="N21" i="16" l="1"/>
  <c r="N25" i="16" s="1"/>
  <c r="N26" i="16" s="1"/>
  <c r="N37" i="16" s="1"/>
  <c r="N39" i="16" s="1"/>
  <c r="N55" i="16" s="1"/>
  <c r="K25" i="16"/>
  <c r="K26" i="16" s="1"/>
  <c r="K37" i="16" s="1"/>
  <c r="K39" i="16" s="1"/>
  <c r="K5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grodine</author>
    <author>Tati ~</author>
  </authors>
  <commentList>
    <comment ref="L2" authorId="0" shapeId="0" xr:uid="{00000000-0006-0000-0100-000001000000}">
      <text>
        <r>
          <rPr>
            <sz val="9"/>
            <color indexed="81"/>
            <rFont val="Tahoma"/>
            <family val="2"/>
          </rPr>
          <t>For non-MHP type projects:
"Assisted" units are HCD-funded units, including the Manager's unit(s). Market Rate units are the only Non-Assisted units. 
"Restricted" units are used for MHP-type projects, or for multiple HCD loan programs if one of them is MHP-type. Restricted units include Manager's unit(s). Market Rate units are the only Non-Restricted (or Non-Assisted) units.
CalHFA: Number of Assisted Units are the Number of Regulated Units</t>
        </r>
      </text>
    </comment>
    <comment ref="L5" authorId="1" shapeId="0" xr:uid="{71D81DAF-0317-47DA-8826-5772248C41AB}">
      <text>
        <r>
          <rPr>
            <sz val="9"/>
            <color indexed="81"/>
            <rFont val="Tahoma"/>
            <family val="2"/>
          </rPr>
          <t xml:space="preserve">If proration is not used for your loan program, enter 100, which equals 100%.
If the Project uses an approved prorata % other than the calculated percentage above, enter that number here; and provide the reason in the "Approved Other Prorata %" field below.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grodine</author>
    <author>Andrew Boyd</author>
    <author>Lynne MacIntosh</author>
    <author>George Rodine</author>
  </authors>
  <commentList>
    <comment ref="B11" authorId="0" shapeId="0" xr:uid="{00000000-0006-0000-0300-00000E000000}">
      <text>
        <r>
          <rPr>
            <sz val="10"/>
            <color indexed="81"/>
            <rFont val="Tahoma"/>
            <family val="2"/>
          </rPr>
          <t>This account reflects the rent/carrying charges approved at 100% occupancy, less tenant/shareholder assistance payments, for all residential units (including non-revenue producing units). Potential rent could be market, contract, or Section 8. For section 236 and 221(d)(3) BMIR projects, this account reflects basic rental/carrying charges due for tenants/shareholders, less tenant/shareholder assistance payments. See account 5191 for treatment of rents due or collected from tenants paying amounts greater than the basic rental/carrying charge.</t>
        </r>
      </text>
    </comment>
    <comment ref="B12" authorId="0" shapeId="0" xr:uid="{00000000-0006-0000-0300-00000F000000}">
      <text>
        <r>
          <rPr>
            <sz val="10"/>
            <color indexed="81"/>
            <rFont val="Tahoma"/>
            <family val="2"/>
          </rPr>
          <t xml:space="preserve">This account reflects tenant assistance payments that are project-based. Tenant assistance payment programs include the Rent Supplement, Rental Assistance Payment (RAP), and Section 8 programs. </t>
        </r>
      </text>
    </comment>
    <comment ref="B13" authorId="0" shapeId="0" xr:uid="{00000000-0006-0000-0300-000010000000}">
      <text>
        <r>
          <rPr>
            <sz val="10"/>
            <color indexed="81"/>
            <rFont val="Tahoma"/>
            <family val="2"/>
          </rPr>
          <t>This account records gross rental revenue expectancy from stores, offices, or other commercial facilities or uses.</t>
        </r>
      </text>
    </comment>
    <comment ref="B14" authorId="0" shapeId="0" xr:uid="{00000000-0006-0000-0300-000011000000}">
      <text>
        <r>
          <rPr>
            <sz val="10"/>
            <color indexed="81"/>
            <rFont val="Tahoma"/>
            <family val="2"/>
          </rPr>
          <t>This account records the gross potential rental revenue from all garage and parking spaces.</t>
        </r>
      </text>
    </comment>
    <comment ref="B15" authorId="1" shapeId="0" xr:uid="{00000000-0006-0000-0300-000012000000}">
      <text>
        <r>
          <rPr>
            <sz val="10"/>
            <color indexed="81"/>
            <rFont val="Tahoma"/>
            <family val="2"/>
          </rPr>
          <t xml:space="preserve">This account reflects the amount of funds transferred from the Management Improvement and Operating Plan account (See account 1381) to reduce mortgage or escrow deficiencies, to cover operating deficits or to meet working capital needs. </t>
        </r>
        <r>
          <rPr>
            <sz val="9"/>
            <color indexed="81"/>
            <rFont val="Tahoma"/>
            <family val="2"/>
          </rPr>
          <t xml:space="preserve">
</t>
        </r>
      </text>
    </comment>
    <comment ref="B16" authorId="0" shapeId="0" xr:uid="{00000000-0006-0000-0300-000013000000}">
      <text>
        <r>
          <rPr>
            <sz val="10"/>
            <color indexed="81"/>
            <rFont val="Tahoma"/>
            <family val="2"/>
          </rPr>
          <t>This account records gross rental revenue expectancy not otherwise described above.</t>
        </r>
      </text>
    </comment>
    <comment ref="F16" authorId="1" shapeId="0" xr:uid="{00000000-0006-0000-0300-000014000000}">
      <text>
        <r>
          <rPr>
            <sz val="9"/>
            <color indexed="81"/>
            <rFont val="Tahoma"/>
            <family val="2"/>
          </rPr>
          <t xml:space="preserve">This cell will autopopulate based on proration percentage.  Enter applicable amounts in columns D (Commercial Proposed) and A (Total Project Proposed).  </t>
        </r>
      </text>
    </comment>
    <comment ref="G16" authorId="1" shapeId="0" xr:uid="{00000000-0006-0000-0300-000015000000}">
      <text>
        <r>
          <rPr>
            <sz val="9"/>
            <color indexed="81"/>
            <rFont val="Tahoma"/>
            <family val="2"/>
          </rPr>
          <t xml:space="preserve">This cell will autopopulate based on proration percentage.  Enter applicable amounts in columns D (Commercial Proposed) and A (Total Project Proposed).  </t>
        </r>
      </text>
    </comment>
    <comment ref="B17" authorId="1" shapeId="0" xr:uid="{00000000-0006-0000-0300-000016000000}">
      <text>
        <r>
          <rPr>
            <sz val="10"/>
            <color indexed="81"/>
            <rFont val="Tahoma"/>
            <family val="2"/>
          </rPr>
          <t>This account must equal the sum of accounts 5120 through 5195.</t>
        </r>
      </text>
    </comment>
    <comment ref="B19" authorId="1" shapeId="0" xr:uid="{00000000-0006-0000-0300-000017000000}">
      <text>
        <r>
          <rPr>
            <sz val="10"/>
            <color indexed="81"/>
            <rFont val="Tahoma"/>
            <family val="2"/>
          </rPr>
          <t>This account reflects the rental revenue lost through vacancy of an apartment unit.</t>
        </r>
      </text>
    </comment>
    <comment ref="B20" authorId="1" shapeId="0" xr:uid="{00000000-0006-0000-0300-000018000000}">
      <text>
        <r>
          <rPr>
            <sz val="10"/>
            <color indexed="81"/>
            <rFont val="Tahoma"/>
            <family val="2"/>
          </rPr>
          <t>This account reflects the rental revenue lost through vacancy of an apartment unit.</t>
        </r>
      </text>
    </comment>
    <comment ref="F20" authorId="2" shapeId="0" xr:uid="{9420E4BE-012C-4DC5-8EF8-851721704A4F}">
      <text>
        <r>
          <rPr>
            <sz val="9"/>
            <color indexed="81"/>
            <rFont val="Tahoma"/>
            <family val="2"/>
          </rPr>
          <t>Proposed Assisted Units Apartments Vacancy $ is calculated after entering an  amount in Column B, Line 8 above.</t>
        </r>
      </text>
    </comment>
    <comment ref="G20" authorId="2" shapeId="0" xr:uid="{33F8683A-0E1C-422B-8E5A-EB0EE461727C}">
      <text>
        <r>
          <rPr>
            <sz val="9"/>
            <color indexed="81"/>
            <rFont val="Tahoma"/>
            <family val="2"/>
          </rPr>
          <t>Proposed Non-Assisted Units Apartments Vacancy $ is calculated after entering an amount in Column C, Line 8 above.</t>
        </r>
      </text>
    </comment>
    <comment ref="H20" authorId="2" shapeId="0" xr:uid="{23035E77-4533-46A1-8596-6116C621F401}">
      <text>
        <r>
          <rPr>
            <sz val="9"/>
            <color indexed="81"/>
            <rFont val="Tahoma"/>
            <family val="2"/>
          </rPr>
          <t>Proposed Non-Assisted Units Apartments Vacancy $ is calculated after entering an amount in Column C, Line 8 above.</t>
        </r>
      </text>
    </comment>
    <comment ref="B21" authorId="0" shapeId="0" xr:uid="{00000000-0006-0000-0300-00001C000000}">
      <text>
        <r>
          <rPr>
            <sz val="10"/>
            <color indexed="81"/>
            <rFont val="Tahoma"/>
            <family val="2"/>
          </rPr>
          <t>This account reflects the rental revenue lost through vacancy of a store or other commercial units.</t>
        </r>
      </text>
    </comment>
    <comment ref="H21" authorId="2" shapeId="0" xr:uid="{866D9D60-1772-402C-9744-7527B03061F7}">
      <text>
        <r>
          <rPr>
            <sz val="9"/>
            <color indexed="81"/>
            <rFont val="Tahoma"/>
            <family val="2"/>
          </rPr>
          <t xml:space="preserve">The Proposed Stores and Commercial Vacancy % will be calculated after entering an amount in Column D, Line 8 above.
</t>
        </r>
      </text>
    </comment>
    <comment ref="B22" authorId="0" shapeId="0" xr:uid="{00000000-0006-0000-0300-000020000000}">
      <text>
        <r>
          <rPr>
            <sz val="10"/>
            <color indexed="81"/>
            <rFont val="Tahoma"/>
            <family val="2"/>
          </rPr>
          <t>This account reflects the amount provided as rental concessions (i.e., free rent) in connection with the execution of leases of revenue producing units.</t>
        </r>
      </text>
    </comment>
    <comment ref="B23" authorId="0" shapeId="0" xr:uid="{00000000-0006-0000-0300-000021000000}">
      <text>
        <r>
          <rPr>
            <sz val="10"/>
            <color indexed="81"/>
            <rFont val="Tahoma"/>
            <family val="2"/>
          </rPr>
          <t>This account reflects the rental revenue lost through vacancy of a garage or parking spaces.</t>
        </r>
      </text>
    </comment>
    <comment ref="B24" authorId="0" shapeId="0" xr:uid="{00000000-0006-0000-0300-000022000000}">
      <text>
        <r>
          <rPr>
            <sz val="10"/>
            <color indexed="81"/>
            <rFont val="Tahoma"/>
            <family val="2"/>
          </rPr>
          <t>This account reflects the rental revenue lost through vacancy of any revenue-producing space or equipment not otherwise described above.</t>
        </r>
      </text>
    </comment>
    <comment ref="B25" authorId="1" shapeId="0" xr:uid="{00000000-0006-0000-0300-000023000000}">
      <text>
        <r>
          <rPr>
            <sz val="10"/>
            <color indexed="81"/>
            <rFont val="Tahoma"/>
            <family val="2"/>
          </rPr>
          <t>This account must equal the sum of accounts 5220 through 5290.</t>
        </r>
      </text>
    </comment>
    <comment ref="B26" authorId="1" shapeId="0" xr:uid="{00000000-0006-0000-0300-000024000000}">
      <text>
        <r>
          <rPr>
            <sz val="10"/>
            <color indexed="81"/>
            <rFont val="Tahoma"/>
            <family val="2"/>
          </rPr>
          <t>This account must equal the sum of account 5100T less account 5200T.</t>
        </r>
      </text>
    </comment>
    <comment ref="B27" authorId="0" shapeId="0" xr:uid="{00000000-0006-0000-0300-000025000000}">
      <text>
        <r>
          <rPr>
            <b/>
            <sz val="10"/>
            <color indexed="81"/>
            <rFont val="Tahoma"/>
            <family val="2"/>
          </rPr>
          <t xml:space="preserve">This account is primarily applicable to the SUHRP and CHRP-R Programs and projects regulated by the 2017 UMRs.
</t>
        </r>
        <r>
          <rPr>
            <sz val="10"/>
            <color indexed="81"/>
            <rFont val="Tahoma"/>
            <family val="2"/>
          </rPr>
          <t xml:space="preserve">This account is used to record tenant care revenues for Group and Nursing Homes, Assisted Living facilities, Board &amp; Care facilities, service revenue for project housing elderly or disabled, and to record revenues associated with service coordinators and special purpose grants (drug elimination, congregate housing, etc.). </t>
        </r>
      </text>
    </comment>
    <comment ref="F27" authorId="1" shapeId="0" xr:uid="{00000000-0006-0000-0300-000026000000}">
      <text>
        <r>
          <rPr>
            <b/>
            <sz val="9"/>
            <color indexed="81"/>
            <rFont val="Tahoma"/>
            <family val="2"/>
          </rPr>
          <t xml:space="preserve">This cell will autopopulate based on proration percentage.  Enter applicable amounts in columns C (Commercial Proposed) and D (Total Project Proposed).  </t>
        </r>
      </text>
    </comment>
    <comment ref="G27" authorId="1" shapeId="0" xr:uid="{00000000-0006-0000-0300-000027000000}">
      <text>
        <r>
          <rPr>
            <b/>
            <sz val="9"/>
            <color indexed="81"/>
            <rFont val="Tahoma"/>
            <family val="2"/>
          </rPr>
          <t xml:space="preserve">This cell will autopopulate based on proration percentage.  Enter applicable amounts in columns C (Commercial Proposed) and D (Total Project Proposed).  </t>
        </r>
      </text>
    </comment>
    <comment ref="B29" authorId="0" shapeId="0" xr:uid="{00000000-0006-0000-0300-000028000000}">
      <text>
        <r>
          <rPr>
            <sz val="10"/>
            <color indexed="81"/>
            <rFont val="Tahoma"/>
            <family val="2"/>
          </rPr>
          <t xml:space="preserve">This account is used to record interest and other investment income earned in connection with project operations. </t>
        </r>
        <r>
          <rPr>
            <u/>
            <sz val="10"/>
            <color indexed="81"/>
            <rFont val="Tahoma"/>
            <family val="2"/>
          </rPr>
          <t>DO NOT INCLUDE RESERVE ACCOUNTS INTEREST INCOME.</t>
        </r>
      </text>
    </comment>
    <comment ref="F29" authorId="1" shapeId="0" xr:uid="{31E3EDA7-E5E2-4510-A7CE-E9649B32A189}">
      <text>
        <r>
          <rPr>
            <b/>
            <sz val="9"/>
            <color indexed="81"/>
            <rFont val="Tahoma"/>
            <family val="2"/>
          </rPr>
          <t xml:space="preserve">This cell will autopopulate based on proration percentage.  Enter applicable amounts in columns C (Commercial Proposed) and D (Total Project Proposed). </t>
        </r>
        <r>
          <rPr>
            <b/>
            <sz val="9"/>
            <color indexed="10"/>
            <rFont val="Tahoma"/>
            <family val="2"/>
          </rPr>
          <t xml:space="preserve"> For CalHFA MHSA projects enter 0 here.</t>
        </r>
      </text>
    </comment>
    <comment ref="G29" authorId="1" shapeId="0" xr:uid="{00000000-0006-0000-0300-00002A000000}">
      <text>
        <r>
          <rPr>
            <b/>
            <sz val="9"/>
            <color indexed="81"/>
            <rFont val="Tahoma"/>
            <family val="2"/>
          </rPr>
          <t xml:space="preserve">This cell will autopopulate based on proration percentage.  Enter applicable amounts in columns C (Commercial Proposed) and D (Total Project Proposed).  </t>
        </r>
      </text>
    </comment>
    <comment ref="B30" authorId="0" shapeId="0" xr:uid="{00000000-0006-0000-0300-00002B000000}">
      <text>
        <r>
          <rPr>
            <sz val="10"/>
            <color indexed="81"/>
            <rFont val="Tahoma"/>
            <family val="2"/>
          </rPr>
          <t xml:space="preserve">This account is used to record interest and other investment income earned in connection with project operations. </t>
        </r>
        <r>
          <rPr>
            <u/>
            <sz val="10"/>
            <color indexed="81"/>
            <rFont val="Tahoma"/>
            <family val="2"/>
          </rPr>
          <t>DO NOT INCLUDE RESERVE ACCOUNTS INTEREST INCOME.</t>
        </r>
      </text>
    </comment>
    <comment ref="F30" authorId="1" shapeId="0" xr:uid="{3523D3B4-8636-4E6A-9969-4E3CCE9A6E3A}">
      <text>
        <r>
          <rPr>
            <b/>
            <sz val="9"/>
            <color indexed="81"/>
            <rFont val="Tahoma"/>
            <family val="2"/>
          </rPr>
          <t xml:space="preserve">This cell will autopopulate based on proration percentage.  Enter applicable amounts in columns C (Commercial Proposed) and D (Total Project Proposed). </t>
        </r>
        <r>
          <rPr>
            <b/>
            <sz val="9"/>
            <color indexed="10"/>
            <rFont val="Tahoma"/>
            <family val="2"/>
          </rPr>
          <t xml:space="preserve"> For CalHFA MHSA projects enter 0 here.</t>
        </r>
      </text>
    </comment>
    <comment ref="G30" authorId="1" shapeId="0" xr:uid="{00000000-0006-0000-0300-00002D000000}">
      <text>
        <r>
          <rPr>
            <b/>
            <sz val="9"/>
            <color indexed="81"/>
            <rFont val="Tahoma"/>
            <family val="2"/>
          </rPr>
          <t xml:space="preserve">This cell will autopopulate based on proration percentage.  Enter applicable amounts in columns C (Commercial Proposed) and D (Total Project Proposed).  </t>
        </r>
      </text>
    </comment>
    <comment ref="B31" authorId="0" shapeId="0" xr:uid="{00000000-0006-0000-0300-00002E000000}">
      <text>
        <r>
          <rPr>
            <sz val="10"/>
            <color indexed="81"/>
            <rFont val="Tahoma"/>
            <family val="2"/>
          </rPr>
          <t xml:space="preserve">This account is used to record interest and other investment income earned in connection with project operations. </t>
        </r>
        <r>
          <rPr>
            <u/>
            <sz val="10"/>
            <color indexed="81"/>
            <rFont val="Tahoma"/>
            <family val="2"/>
          </rPr>
          <t>DO NOT INCLUDE RESERVE ACCOUNTS INTEREST INCOME.</t>
        </r>
      </text>
    </comment>
    <comment ref="B33" authorId="0" shapeId="0" xr:uid="{00000000-0006-0000-0300-00002F000000}">
      <text>
        <r>
          <rPr>
            <sz val="10"/>
            <color indexed="81"/>
            <rFont val="Tahoma"/>
            <family val="2"/>
          </rPr>
          <t>This account records project revenues received from laundry and vending machines owned or leased by the project.</t>
        </r>
      </text>
    </comment>
    <comment ref="F33" authorId="1" shapeId="0" xr:uid="{00000000-0006-0000-0300-000030000000}">
      <text>
        <r>
          <rPr>
            <b/>
            <sz val="9"/>
            <color indexed="81"/>
            <rFont val="Tahoma"/>
            <family val="2"/>
          </rPr>
          <t xml:space="preserve">This cell will autopopulate based on proration percentage.  Enter applicable amounts in columns C (Commercial Proposed) and D (Total Project Proposed).  </t>
        </r>
      </text>
    </comment>
    <comment ref="G33" authorId="1" shapeId="0" xr:uid="{00000000-0006-0000-0300-000031000000}">
      <text>
        <r>
          <rPr>
            <b/>
            <sz val="9"/>
            <color indexed="81"/>
            <rFont val="Tahoma"/>
            <family val="2"/>
          </rPr>
          <t xml:space="preserve">This cell will autopopulate based on proration percentage.  Enter applicable amounts in columns C (Commercial Proposed) and D (Total Project Proposed).  </t>
        </r>
      </text>
    </comment>
    <comment ref="B34" authorId="0" shapeId="0" xr:uid="{00000000-0006-0000-0300-000032000000}">
      <text>
        <r>
          <rPr>
            <sz val="10"/>
            <color indexed="81"/>
            <rFont val="Tahoma"/>
            <family val="2"/>
          </rPr>
          <t>This account reflects charges assessed to tenants for rent checks returned for insufficient funds, late payment of rents, breaking the lease, and all other extraneous fees that have to do with lease/tenant. This account also includes damage payments received from HUD and forfeited security deposits.</t>
        </r>
      </text>
    </comment>
    <comment ref="F34" authorId="1" shapeId="0" xr:uid="{00000000-0006-0000-0300-000033000000}">
      <text>
        <r>
          <rPr>
            <b/>
            <sz val="9"/>
            <color indexed="81"/>
            <rFont val="Tahoma"/>
            <family val="2"/>
          </rPr>
          <t xml:space="preserve">This cell will autopopulate based on proration percentage.  Enter applicable amounts in columns C (Commercial Proposed) and D (Total Project Proposed).  </t>
        </r>
      </text>
    </comment>
    <comment ref="G34" authorId="1" shapeId="0" xr:uid="{00000000-0006-0000-0300-000034000000}">
      <text>
        <r>
          <rPr>
            <b/>
            <sz val="9"/>
            <color indexed="81"/>
            <rFont val="Tahoma"/>
            <family val="2"/>
          </rPr>
          <t xml:space="preserve">This cell will autopopulate based on proration percentage.  Enter applicable amounts in columns C (Commercial Proposed) and D (Total Project Proposed).  </t>
        </r>
      </text>
    </comment>
    <comment ref="B35" authorId="0" shapeId="0" xr:uid="{00000000-0006-0000-0300-000035000000}">
      <text>
        <r>
          <rPr>
            <sz val="10"/>
            <color indexed="81"/>
            <rFont val="Tahoma"/>
            <family val="2"/>
          </rPr>
          <t>This account reflects project revenues not otherwise described in the above revenue accounts; it may also include revenue from non-commercial rental space.</t>
        </r>
      </text>
    </comment>
    <comment ref="F35" authorId="1" shapeId="0" xr:uid="{00000000-0006-0000-0300-000036000000}">
      <text>
        <r>
          <rPr>
            <b/>
            <sz val="9"/>
            <color indexed="81"/>
            <rFont val="Tahoma"/>
            <family val="2"/>
          </rPr>
          <t xml:space="preserve">This cell will autopopulate based on proration percentage.  Enter applicable amounts in columns C (Commercial Proposed) and D (Total Project Proposed).  </t>
        </r>
      </text>
    </comment>
    <comment ref="G35" authorId="1" shapeId="0" xr:uid="{00000000-0006-0000-0300-000037000000}">
      <text>
        <r>
          <rPr>
            <b/>
            <sz val="9"/>
            <color indexed="81"/>
            <rFont val="Tahoma"/>
            <family val="2"/>
          </rPr>
          <t xml:space="preserve">This cell will autopopulate based on proration percentage.  Enter applicable amounts in columns C (Commercial Proposed) and D (Total Project Proposed).  </t>
        </r>
      </text>
    </comment>
    <comment ref="B36" authorId="1" shapeId="0" xr:uid="{00000000-0006-0000-0300-000038000000}">
      <text>
        <r>
          <rPr>
            <sz val="10"/>
            <color indexed="81"/>
            <rFont val="Tahoma"/>
            <family val="2"/>
          </rPr>
          <t>This account must equal the sum of accounts 5910 through 5990.</t>
        </r>
        <r>
          <rPr>
            <sz val="9"/>
            <color indexed="81"/>
            <rFont val="Tahoma"/>
            <family val="2"/>
          </rPr>
          <t xml:space="preserve">
</t>
        </r>
      </text>
    </comment>
    <comment ref="B37" authorId="1" shapeId="0" xr:uid="{00000000-0006-0000-0300-000039000000}">
      <text>
        <r>
          <rPr>
            <sz val="10"/>
            <color indexed="81"/>
            <rFont val="Tahoma"/>
            <family val="2"/>
          </rPr>
          <t>This account must equal the sum of accounts 5910 through 5990.</t>
        </r>
        <r>
          <rPr>
            <sz val="9"/>
            <color indexed="81"/>
            <rFont val="Tahoma"/>
            <family val="2"/>
          </rPr>
          <t xml:space="preserve">
</t>
        </r>
      </text>
    </comment>
    <comment ref="B40" authorId="0" shapeId="0" xr:uid="{00000000-0006-0000-0300-00003A000000}">
      <text>
        <r>
          <rPr>
            <sz val="10"/>
            <color indexed="81"/>
            <rFont val="Tahoma"/>
            <family val="2"/>
          </rPr>
          <t>Required cash payments for interest on, and retirement of the principal amount of, a debt.</t>
        </r>
      </text>
    </comment>
    <comment ref="B41" authorId="1" shapeId="0" xr:uid="{00000000-0006-0000-0300-00003B000000}">
      <text>
        <r>
          <rPr>
            <sz val="9"/>
            <color indexed="81"/>
            <rFont val="Tahoma"/>
            <family val="2"/>
          </rPr>
          <t>Do not include Fees including Bond, Issuer, Trustee.
Specify Lender name at right.</t>
        </r>
      </text>
    </comment>
    <comment ref="F41" authorId="1" shapeId="0" xr:uid="{00000000-0006-0000-0300-00003C000000}">
      <text>
        <r>
          <rPr>
            <b/>
            <sz val="9"/>
            <color indexed="81"/>
            <rFont val="Tahoma"/>
            <family val="2"/>
          </rPr>
          <t xml:space="preserve">This cell will autopopulate based on proration percentage.  Enter applicable amounts in columns C (Commercial Proposed) and D (Total Project Proposed). </t>
        </r>
        <r>
          <rPr>
            <b/>
            <sz val="9"/>
            <color indexed="10"/>
            <rFont val="Tahoma"/>
            <family val="2"/>
          </rPr>
          <t xml:space="preserve"> For CalHFA MHSA projects enter 0 here.</t>
        </r>
      </text>
    </comment>
    <comment ref="G41" authorId="1" shapeId="0" xr:uid="{00000000-0006-0000-0300-00003D000000}">
      <text>
        <r>
          <rPr>
            <b/>
            <sz val="9"/>
            <color indexed="81"/>
            <rFont val="Tahoma"/>
            <family val="2"/>
          </rPr>
          <t xml:space="preserve">This cell will autopopulate based on proration percentage.  Enter applicable amounts in columns C (Commercial Proposed) and D (Total Project Proposed).  </t>
        </r>
      </text>
    </comment>
    <comment ref="B42" authorId="1" shapeId="0" xr:uid="{00000000-0006-0000-0300-00003E000000}">
      <text>
        <r>
          <rPr>
            <sz val="9"/>
            <color indexed="81"/>
            <rFont val="Tahoma"/>
            <family val="2"/>
          </rPr>
          <t>Do not include Fees including Bond, Issuer, Trustee.
Specify Lender name at right.</t>
        </r>
      </text>
    </comment>
    <comment ref="F42" authorId="1" shapeId="0" xr:uid="{7218CCFE-5F0D-4458-A8B5-2A4F376C91FB}">
      <text>
        <r>
          <rPr>
            <b/>
            <sz val="9"/>
            <color indexed="81"/>
            <rFont val="Tahoma"/>
            <family val="2"/>
          </rPr>
          <t xml:space="preserve">This cell will autopopulate based on proration percentage.  Enter applicable amounts in columns C (Commercial Proposed) and D (Total Project Proposed). </t>
        </r>
        <r>
          <rPr>
            <b/>
            <sz val="9"/>
            <color indexed="10"/>
            <rFont val="Tahoma"/>
            <family val="2"/>
          </rPr>
          <t xml:space="preserve"> For CalHFA MHSA projects enter 0 here.</t>
        </r>
      </text>
    </comment>
    <comment ref="G42" authorId="1" shapeId="0" xr:uid="{00000000-0006-0000-0300-000040000000}">
      <text>
        <r>
          <rPr>
            <b/>
            <sz val="9"/>
            <color indexed="81"/>
            <rFont val="Tahoma"/>
            <family val="2"/>
          </rPr>
          <t xml:space="preserve">This cell will autopopulate based on proration percentage.  Enter applicable amounts in columns C (Commercial Proposed) and D (Total Project Proposed).  </t>
        </r>
      </text>
    </comment>
    <comment ref="B43" authorId="1" shapeId="0" xr:uid="{00000000-0006-0000-0300-000041000000}">
      <text>
        <r>
          <rPr>
            <sz val="9"/>
            <color indexed="81"/>
            <rFont val="Tahoma"/>
            <family val="2"/>
          </rPr>
          <t>Do not include Fees including Bond, Issuer, Trustee.
Specify Lender name at right.</t>
        </r>
      </text>
    </comment>
    <comment ref="F43" authorId="1" shapeId="0" xr:uid="{4BD8D647-93CA-4349-9D1D-067365FA6C90}">
      <text>
        <r>
          <rPr>
            <b/>
            <sz val="9"/>
            <color indexed="81"/>
            <rFont val="Tahoma"/>
            <family val="2"/>
          </rPr>
          <t xml:space="preserve">This cell will autopopulate based on proration percentage.  Enter applicable amounts in columns C (Commercial Proposed) and D (Total Project Proposed). </t>
        </r>
        <r>
          <rPr>
            <b/>
            <sz val="9"/>
            <color indexed="10"/>
            <rFont val="Tahoma"/>
            <family val="2"/>
          </rPr>
          <t xml:space="preserve"> For CalHFA MHSA projects enter 0 here.</t>
        </r>
      </text>
    </comment>
    <comment ref="G43" authorId="1" shapeId="0" xr:uid="{00000000-0006-0000-0300-000043000000}">
      <text>
        <r>
          <rPr>
            <b/>
            <sz val="9"/>
            <color indexed="81"/>
            <rFont val="Tahoma"/>
            <family val="2"/>
          </rPr>
          <t xml:space="preserve">This cell will autopopulate based on proration percentage.  Enter applicable amounts in columns C (Commercial Proposed) and D (Total Project Proposed).  </t>
        </r>
      </text>
    </comment>
    <comment ref="B44" authorId="0" shapeId="0" xr:uid="{00000000-0006-0000-0300-000044000000}">
      <text>
        <r>
          <rPr>
            <sz val="10"/>
            <color indexed="81"/>
            <rFont val="Tahoma"/>
            <family val="2"/>
          </rPr>
          <t>Monthly or annual loan and/or interest payments required by the note and deed of trust for certain HCD loans OR 0.42% annual interest payment required for MHP loans AND/OR CalHFA Servicing/Monitoring Fee.</t>
        </r>
      </text>
    </comment>
    <comment ref="F44" authorId="1" shapeId="0" xr:uid="{00000000-0006-0000-0300-000045000000}">
      <text>
        <r>
          <rPr>
            <b/>
            <sz val="9"/>
            <color indexed="81"/>
            <rFont val="Tahoma"/>
            <family val="2"/>
          </rPr>
          <t xml:space="preserve">This cell will autopopulate based on proration percentage.  Enter applicable amounts in columns C (Commercial Proposed) and D (Total Project Proposed).  </t>
        </r>
      </text>
    </comment>
    <comment ref="G44" authorId="1" shapeId="0" xr:uid="{00000000-0006-0000-0300-000046000000}">
      <text>
        <r>
          <rPr>
            <b/>
            <sz val="9"/>
            <color indexed="81"/>
            <rFont val="Tahoma"/>
            <family val="2"/>
          </rPr>
          <t xml:space="preserve">This cell will autopopulate based on proration percentage.  Enter applicable amounts in columns C (Commercial Proposed) and D (Total Project Proposed).  </t>
        </r>
      </text>
    </comment>
    <comment ref="B45" authorId="0" shapeId="0" xr:uid="{00000000-0006-0000-0300-000047000000}">
      <text>
        <r>
          <rPr>
            <sz val="10"/>
            <color indexed="81"/>
            <rFont val="Tahoma"/>
            <family val="2"/>
          </rPr>
          <t>Payments of monthly or annual rent required by a lease.</t>
        </r>
        <r>
          <rPr>
            <sz val="8"/>
            <color indexed="81"/>
            <rFont val="Tahoma"/>
            <family val="2"/>
          </rPr>
          <t xml:space="preserve">
</t>
        </r>
      </text>
    </comment>
    <comment ref="F45" authorId="1" shapeId="0" xr:uid="{00000000-0006-0000-0300-000048000000}">
      <text>
        <r>
          <rPr>
            <b/>
            <sz val="9"/>
            <color indexed="81"/>
            <rFont val="Tahoma"/>
            <family val="2"/>
          </rPr>
          <t xml:space="preserve">This cell will autopopulate based on proration percentage.  Enter applicable amounts in columns C (Commercial Proposed) and D (Total Project Proposed).  </t>
        </r>
      </text>
    </comment>
    <comment ref="G45" authorId="1" shapeId="0" xr:uid="{00000000-0006-0000-0300-000049000000}">
      <text>
        <r>
          <rPr>
            <b/>
            <sz val="9"/>
            <color indexed="81"/>
            <rFont val="Tahoma"/>
            <family val="2"/>
          </rPr>
          <t xml:space="preserve">This cell will autopopulate based on proration percentage.  Enter applicable amounts in columns C (Commercial Proposed) and D (Total Project Proposed).  </t>
        </r>
      </text>
    </comment>
    <comment ref="B46" authorId="1" shapeId="0" xr:uid="{00000000-0006-0000-0300-00004A000000}">
      <text>
        <r>
          <rPr>
            <sz val="9"/>
            <color indexed="81"/>
            <rFont val="Tahoma"/>
            <family val="2"/>
          </rPr>
          <t>This account reflects financial expenses not otherwise classified in the 6800 series. This account also includes fees paid to a bond trustee or other annual loan fees.</t>
        </r>
      </text>
    </comment>
    <comment ref="F46" authorId="1" shapeId="0" xr:uid="{2D4D6E08-52C2-47D2-9B9A-1163607AB2AF}">
      <text>
        <r>
          <rPr>
            <b/>
            <sz val="9"/>
            <color indexed="81"/>
            <rFont val="Tahoma"/>
            <family val="2"/>
          </rPr>
          <t xml:space="preserve">This cell will autopopulate based on proration percentage.  Enter applicable amounts in columns C (Commercial Proposed) and D (Total Project Proposed). </t>
        </r>
        <r>
          <rPr>
            <b/>
            <sz val="9"/>
            <color indexed="10"/>
            <rFont val="Tahoma"/>
            <family val="2"/>
          </rPr>
          <t xml:space="preserve"> For CalHFA MHSA projects enter 0 here.</t>
        </r>
      </text>
    </comment>
    <comment ref="G46" authorId="1" shapeId="0" xr:uid="{00000000-0006-0000-0300-00004C000000}">
      <text>
        <r>
          <rPr>
            <b/>
            <sz val="9"/>
            <color indexed="81"/>
            <rFont val="Tahoma"/>
            <family val="2"/>
          </rPr>
          <t xml:space="preserve">This cell will autopopulate based on proration percentage.  Enter applicable amounts in columns C (Commercial Proposed) and D (Total Project Proposed).  </t>
        </r>
      </text>
    </comment>
    <comment ref="B49" authorId="0" shapeId="0" xr:uid="{00000000-0006-0000-0300-00004D000000}">
      <text>
        <r>
          <rPr>
            <sz val="10"/>
            <color indexed="81"/>
            <rFont val="Tahoma"/>
            <family val="2"/>
          </rPr>
          <t>Includes 1321.  Cash and investments held by mortgagee or mortgagor (as required) for replacements as set forth in the Regulatory Agreement.  This account may include amounts that are reported in separately established painting reserve accounts.</t>
        </r>
      </text>
    </comment>
    <comment ref="F49" authorId="1" shapeId="0" xr:uid="{00000000-0006-0000-0300-00004E000000}">
      <text>
        <r>
          <rPr>
            <b/>
            <sz val="9"/>
            <color indexed="81"/>
            <rFont val="Tahoma"/>
            <family val="2"/>
          </rPr>
          <t xml:space="preserve">This cell will autopopulate based on proration percentage.  Enter applicable amounts in columns C (Commercial Proposed) and D (Total Project Proposed).  </t>
        </r>
      </text>
    </comment>
    <comment ref="G49" authorId="1" shapeId="0" xr:uid="{00000000-0006-0000-0300-00004F000000}">
      <text>
        <r>
          <rPr>
            <b/>
            <sz val="9"/>
            <color indexed="81"/>
            <rFont val="Tahoma"/>
            <family val="2"/>
          </rPr>
          <t xml:space="preserve">This cell will autopopulate based on proration percentage.  Enter applicable amounts in columns C (Commercial Proposed) and D (Total Project Proposed).  </t>
        </r>
      </text>
    </comment>
    <comment ref="B50" authorId="0" shapeId="0" xr:uid="{00000000-0006-0000-0300-000050000000}">
      <text>
        <r>
          <rPr>
            <sz val="10"/>
            <color indexed="81"/>
            <rFont val="Tahoma"/>
            <family val="2"/>
          </rPr>
          <t>This account is used to maintain a fund for general operation expenses.</t>
        </r>
      </text>
    </comment>
    <comment ref="F50" authorId="1" shapeId="0" xr:uid="{00000000-0006-0000-0300-000051000000}">
      <text>
        <r>
          <rPr>
            <b/>
            <sz val="9"/>
            <color indexed="81"/>
            <rFont val="Tahoma"/>
            <family val="2"/>
          </rPr>
          <t xml:space="preserve">This cell will autopopulate based on proration percentage.  Enter applicable amounts in columns C (Commercial Proposed) and D (Total Project Proposed).  </t>
        </r>
      </text>
    </comment>
    <comment ref="G50" authorId="1" shapeId="0" xr:uid="{00000000-0006-0000-0300-000052000000}">
      <text>
        <r>
          <rPr>
            <b/>
            <sz val="9"/>
            <color indexed="81"/>
            <rFont val="Tahoma"/>
            <family val="2"/>
          </rPr>
          <t xml:space="preserve">This cell will autopopulate based on proration percentage.  Enter applicable amounts in columns C (Commercial Proposed) and D (Total Project Proposed).  </t>
        </r>
      </text>
    </comment>
    <comment ref="B51" authorId="0" shapeId="0" xr:uid="{00000000-0006-0000-0300-000053000000}">
      <text>
        <r>
          <rPr>
            <sz val="10"/>
            <color indexed="81"/>
            <rFont val="Tahoma"/>
            <family val="2"/>
          </rPr>
          <t xml:space="preserve">Any other cash and investments held by the mortgagee for mortgagor for which lender approval is required for withdrawals. </t>
        </r>
      </text>
    </comment>
    <comment ref="F51" authorId="1" shapeId="0" xr:uid="{00000000-0006-0000-0300-000054000000}">
      <text>
        <r>
          <rPr>
            <b/>
            <sz val="9"/>
            <color indexed="81"/>
            <rFont val="Tahoma"/>
            <family val="2"/>
          </rPr>
          <t xml:space="preserve">This cell will autopopulate based on proration percentage.  Enter applicable amounts in columns C (Commercial Proposed) and D (Total Project Proposed).  </t>
        </r>
      </text>
    </comment>
    <comment ref="G51" authorId="1" shapeId="0" xr:uid="{00000000-0006-0000-0300-000055000000}">
      <text>
        <r>
          <rPr>
            <b/>
            <sz val="9"/>
            <color indexed="81"/>
            <rFont val="Tahoma"/>
            <family val="2"/>
          </rPr>
          <t xml:space="preserve">This cell will autopopulate based on proration percentage.  Enter applicable amounts in columns C (Commercial Proposed) and D (Total Project Proposed).  </t>
        </r>
      </text>
    </comment>
    <comment ref="F52" authorId="1" shapeId="0" xr:uid="{00000000-0006-0000-0300-000056000000}">
      <text>
        <r>
          <rPr>
            <b/>
            <sz val="9"/>
            <color indexed="81"/>
            <rFont val="Tahoma"/>
            <family val="2"/>
          </rPr>
          <t xml:space="preserve">This cell will autopopulate based on proration percentage.  Enter applicable amounts in columns C (Commercial Proposed) and D (Total Project Proposed).  </t>
        </r>
      </text>
    </comment>
    <comment ref="G52" authorId="1" shapeId="0" xr:uid="{00000000-0006-0000-0300-000057000000}">
      <text>
        <r>
          <rPr>
            <b/>
            <sz val="9"/>
            <color indexed="81"/>
            <rFont val="Tahoma"/>
            <family val="2"/>
          </rPr>
          <t xml:space="preserve">This cell will autopopulate based on proration percentage.  Enter applicable amounts in columns C (Commercial Proposed) and D (Total Project Proposed).  </t>
        </r>
      </text>
    </comment>
    <comment ref="F53" authorId="1" shapeId="0" xr:uid="{00000000-0006-0000-0300-000058000000}">
      <text>
        <r>
          <rPr>
            <b/>
            <sz val="9"/>
            <color indexed="81"/>
            <rFont val="Tahoma"/>
            <family val="2"/>
          </rPr>
          <t xml:space="preserve">This cell will autopopulate based on proration percentage.  Enter applicable amounts in columns C (Commercial Proposed) and D (Total Project Proposed).  </t>
        </r>
      </text>
    </comment>
    <comment ref="G53" authorId="1" shapeId="0" xr:uid="{00000000-0006-0000-0300-000059000000}">
      <text>
        <r>
          <rPr>
            <b/>
            <sz val="9"/>
            <color indexed="81"/>
            <rFont val="Tahoma"/>
            <family val="2"/>
          </rPr>
          <t xml:space="preserve">This cell will autopopulate based on proration percentage.  Enter applicable amounts in columns C (Commercial Proposed) and D (Total Project Proposed).  </t>
        </r>
      </text>
    </comment>
    <comment ref="B54" authorId="1" shapeId="0" xr:uid="{00000000-0006-0000-0300-00005A000000}">
      <text>
        <r>
          <rPr>
            <sz val="9"/>
            <color indexed="81"/>
            <rFont val="Tahoma"/>
            <family val="2"/>
          </rPr>
          <t xml:space="preserve">Sum of all reserve accounts deposits.
</t>
        </r>
      </text>
    </comment>
    <comment ref="B57" authorId="3" shapeId="0" xr:uid="{00000000-0006-0000-0300-00005B000000}">
      <text>
        <r>
          <rPr>
            <sz val="10"/>
            <color indexed="81"/>
            <rFont val="Tahoma"/>
            <family val="2"/>
          </rPr>
          <t>Amount of financial contribution from Borrower anticipated to be necessary to pay for operating costs that exceeded expected revenue.</t>
        </r>
      </text>
    </comment>
    <comment ref="F57" authorId="1" shapeId="0" xr:uid="{00000000-0006-0000-0300-00005C000000}">
      <text>
        <r>
          <rPr>
            <b/>
            <sz val="9"/>
            <color indexed="81"/>
            <rFont val="Tahoma"/>
            <family val="2"/>
          </rPr>
          <t xml:space="preserve">This cell will autopopulate based on proration percentage.  Enter applicable amounts in columns C (Commercial Proposed) and D (Total Project Proposed).  </t>
        </r>
      </text>
    </comment>
    <comment ref="G57" authorId="1" shapeId="0" xr:uid="{00000000-0006-0000-0300-00005D000000}">
      <text>
        <r>
          <rPr>
            <b/>
            <sz val="9"/>
            <color indexed="81"/>
            <rFont val="Tahoma"/>
            <family val="2"/>
          </rPr>
          <t xml:space="preserve">This cell will autopopulate based on proration percentage.  Enter applicable amounts in columns C (Commercial Proposed) and D (Total Project Proposed).  </t>
        </r>
      </text>
    </comment>
    <comment ref="F58" authorId="1" shapeId="0" xr:uid="{00000000-0006-0000-0300-00005E000000}">
      <text>
        <r>
          <rPr>
            <b/>
            <sz val="9"/>
            <color indexed="81"/>
            <rFont val="Tahoma"/>
            <family val="2"/>
          </rPr>
          <t xml:space="preserve">This cell will autopopulate based on proration percentage.  Enter applicable amounts in columns C (Commercial Proposed) and D (Total Project Proposed).  </t>
        </r>
      </text>
    </comment>
    <comment ref="G58" authorId="1" shapeId="0" xr:uid="{00000000-0006-0000-0300-00005F000000}">
      <text>
        <r>
          <rPr>
            <b/>
            <sz val="9"/>
            <color indexed="81"/>
            <rFont val="Tahoma"/>
            <family val="2"/>
          </rPr>
          <t xml:space="preserve">This cell will autopopulate based on proration percentage.  Enter applicable amounts in columns C (Commercial Proposed) and D (Total Project Proposed).  </t>
        </r>
      </text>
    </comment>
    <comment ref="F59" authorId="1" shapeId="0" xr:uid="{00000000-0006-0000-0300-000060000000}">
      <text>
        <r>
          <rPr>
            <b/>
            <sz val="9"/>
            <color indexed="81"/>
            <rFont val="Tahoma"/>
            <family val="2"/>
          </rPr>
          <t xml:space="preserve">This cell will autopopulate based on proration percentage.  Enter applicable amounts in columns C (Commercial Proposed) and D (Total Project Proposed).  </t>
        </r>
      </text>
    </comment>
    <comment ref="G59" authorId="1" shapeId="0" xr:uid="{00000000-0006-0000-0300-000061000000}">
      <text>
        <r>
          <rPr>
            <b/>
            <sz val="9"/>
            <color indexed="81"/>
            <rFont val="Tahoma"/>
            <family val="2"/>
          </rPr>
          <t xml:space="preserve">This cell will autopopulate based on proration percentage.  Enter applicable amounts in columns C (Commercial Proposed) and D (Total Project Proposed).  </t>
        </r>
      </text>
    </comment>
    <comment ref="F60" authorId="1" shapeId="0" xr:uid="{00000000-0006-0000-0300-000062000000}">
      <text>
        <r>
          <rPr>
            <b/>
            <sz val="9"/>
            <color indexed="81"/>
            <rFont val="Tahoma"/>
            <family val="2"/>
          </rPr>
          <t xml:space="preserve">This cell will autopopulate based on proration percentage.  Enter applicable amounts in columns C (Commercial Proposed) and D (Total Project Proposed).  </t>
        </r>
      </text>
    </comment>
    <comment ref="G60" authorId="1" shapeId="0" xr:uid="{00000000-0006-0000-0300-000063000000}">
      <text>
        <r>
          <rPr>
            <b/>
            <sz val="9"/>
            <color indexed="81"/>
            <rFont val="Tahoma"/>
            <family val="2"/>
          </rPr>
          <t xml:space="preserve">This cell will autopopulate based on proration percentage.  Enter applicable amounts in columns C (Commercial Proposed) and D (Total Project Proposed).  </t>
        </r>
      </text>
    </comment>
    <comment ref="B62" authorId="4" shapeId="0" xr:uid="{00000000-0006-0000-0300-000064000000}">
      <text>
        <r>
          <rPr>
            <b/>
            <sz val="9"/>
            <color indexed="81"/>
            <rFont val="Tahoma"/>
            <family val="2"/>
          </rPr>
          <t>These Use of Cash Flow items are subject to final HCD approval during the review/approval of the Annual Report.</t>
        </r>
        <r>
          <rPr>
            <sz val="9"/>
            <color indexed="81"/>
            <rFont val="Tahoma"/>
            <family val="2"/>
          </rPr>
          <t xml:space="preserve">
</t>
        </r>
      </text>
    </comment>
    <comment ref="F63" authorId="1" shapeId="0" xr:uid="{3E7EEAA6-E333-4B25-BC71-1AA1CFEC8198}">
      <text>
        <r>
          <rPr>
            <b/>
            <sz val="9"/>
            <color indexed="81"/>
            <rFont val="Tahoma"/>
            <family val="2"/>
          </rPr>
          <t xml:space="preserve">This cell will autopopulate based on proration percentage.  Enter applicable amounts in columns C (Commercial Proposed) and D (Total Project Proposed). </t>
        </r>
        <r>
          <rPr>
            <b/>
            <sz val="9"/>
            <color indexed="10"/>
            <rFont val="Tahoma"/>
            <family val="2"/>
          </rPr>
          <t xml:space="preserve"> For CalHFA MHSA projects enter 0 here.</t>
        </r>
      </text>
    </comment>
    <comment ref="G63" authorId="1" shapeId="0" xr:uid="{00000000-0006-0000-0300-000066000000}">
      <text>
        <r>
          <rPr>
            <b/>
            <sz val="9"/>
            <color indexed="81"/>
            <rFont val="Tahoma"/>
            <family val="2"/>
          </rPr>
          <t xml:space="preserve">This cell will autopopulate based on proration percentage.  Enter applicable amounts in columns C (Commercial Proposed) and D (Total Project Proposed).  </t>
        </r>
      </text>
    </comment>
    <comment ref="B64" authorId="3" shapeId="0" xr:uid="{00000000-0006-0000-0300-00006A000000}">
      <text>
        <r>
          <rPr>
            <sz val="10"/>
            <color indexed="81"/>
            <rFont val="Tahoma"/>
            <family val="2"/>
          </rPr>
          <t>Payment to Sponsor for asset management and partnership fees/costs per the Regulatory Agreement. Only applies to MHP and HOME Projects funded under the 09/29/03 MHP/Uniform Multifamily Regulations (UMR) or later.</t>
        </r>
      </text>
    </comment>
    <comment ref="F64" authorId="1" shapeId="0" xr:uid="{28B74DFB-43DF-4E75-B2B4-41D8AC06DCB8}">
      <text>
        <r>
          <rPr>
            <b/>
            <sz val="9"/>
            <color indexed="81"/>
            <rFont val="Tahoma"/>
            <family val="2"/>
          </rPr>
          <t xml:space="preserve">This cell will autopopulate based on proration percentage.  Enter applicable amounts in columns C (Commercial Proposed) and D (Total Project Proposed). </t>
        </r>
        <r>
          <rPr>
            <b/>
            <sz val="9"/>
            <color indexed="10"/>
            <rFont val="Tahoma"/>
            <family val="2"/>
          </rPr>
          <t xml:space="preserve"> For CalHFA MHSA projects enter 0 here.</t>
        </r>
      </text>
    </comment>
    <comment ref="G64" authorId="1" shapeId="0" xr:uid="{00000000-0006-0000-0300-00006C000000}">
      <text>
        <r>
          <rPr>
            <b/>
            <sz val="9"/>
            <color indexed="81"/>
            <rFont val="Tahoma"/>
            <family val="2"/>
          </rPr>
          <t xml:space="preserve">This cell will autopopulate based on proration percentage.  Enter applicable amounts in columns C (Commercial Proposed) and D (Total Project Proposed).  </t>
        </r>
      </text>
    </comment>
    <comment ref="B65" authorId="0" shapeId="0" xr:uid="{00000000-0006-0000-0300-00006D000000}">
      <text>
        <r>
          <rPr>
            <sz val="10"/>
            <color indexed="81"/>
            <rFont val="Tahoma"/>
            <family val="2"/>
          </rPr>
          <t>Cash or other benefits derived from the operation of a rental housing development and  distributed (typically annually, upon HCD approval of audit) to the borrower and to other parties having beneficial interests in the development, after payment of all due and outstanding obligations incurred in connection with the development, as set forth in the Regulatory Agreement.</t>
        </r>
      </text>
    </comment>
    <comment ref="F65" authorId="1" shapeId="0" xr:uid="{0676EDBF-3B77-4453-AD15-5510ECEAAAE7}">
      <text>
        <r>
          <rPr>
            <b/>
            <sz val="9"/>
            <color indexed="81"/>
            <rFont val="Tahoma"/>
            <family val="2"/>
          </rPr>
          <t xml:space="preserve">This cell will autopopulate based on proration percentage.  Enter applicable amounts in columns C (Commercial Proposed) and D (Total Project Proposed). </t>
        </r>
        <r>
          <rPr>
            <b/>
            <sz val="9"/>
            <color indexed="10"/>
            <rFont val="Tahoma"/>
            <family val="2"/>
          </rPr>
          <t xml:space="preserve"> For CalHFA MHSA projects enter 0 here.</t>
        </r>
      </text>
    </comment>
    <comment ref="G65" authorId="1" shapeId="0" xr:uid="{00000000-0006-0000-0300-00006F000000}">
      <text>
        <r>
          <rPr>
            <b/>
            <sz val="9"/>
            <color indexed="81"/>
            <rFont val="Tahoma"/>
            <family val="2"/>
          </rPr>
          <t xml:space="preserve">This cell will autopopulate based on proration percentage.  Enter applicable amounts in columns C (Commercial Proposed) and D (Total Project Proposed).  </t>
        </r>
      </text>
    </comment>
    <comment ref="B66" authorId="0" shapeId="0" xr:uid="{00000000-0006-0000-0300-000070000000}">
      <text>
        <r>
          <rPr>
            <sz val="10"/>
            <color indexed="81"/>
            <rFont val="Tahoma"/>
            <family val="2"/>
          </rPr>
          <t>Proposed cash payments on residual receipts debt.</t>
        </r>
      </text>
    </comment>
    <comment ref="F66" authorId="1" shapeId="0" xr:uid="{0D4F0379-122F-4B10-A1AB-CFD6CE803FF6}">
      <text>
        <r>
          <rPr>
            <b/>
            <sz val="9"/>
            <color indexed="81"/>
            <rFont val="Tahoma"/>
            <family val="2"/>
          </rPr>
          <t xml:space="preserve">This cell will autopopulate based on proration percentage.  Enter applicable amounts in columns C (Commercial Proposed) and D (Total Project Proposed). </t>
        </r>
        <r>
          <rPr>
            <b/>
            <sz val="9"/>
            <color indexed="10"/>
            <rFont val="Tahoma"/>
            <family val="2"/>
          </rPr>
          <t xml:space="preserve"> For CalHFA MHSA projects enter 0 here.</t>
        </r>
      </text>
    </comment>
    <comment ref="G66" authorId="1" shapeId="0" xr:uid="{00000000-0006-0000-0300-000072000000}">
      <text>
        <r>
          <rPr>
            <b/>
            <sz val="9"/>
            <color indexed="81"/>
            <rFont val="Tahoma"/>
            <family val="2"/>
          </rPr>
          <t xml:space="preserve">This cell will autopopulate based on proration percentage.  Enter applicable amounts in columns C (Commercial Proposed) and D (Total Project Proposed).  </t>
        </r>
      </text>
    </comment>
    <comment ref="B67" authorId="0" shapeId="0" xr:uid="{00000000-0006-0000-0300-000073000000}">
      <text>
        <r>
          <rPr>
            <sz val="10"/>
            <color indexed="81"/>
            <rFont val="Tahoma"/>
            <family val="2"/>
          </rPr>
          <t>Required payments of interest only on an HCD term loan, which typically requires the principal to be repaid in a lump sum balloon payment at maturity.</t>
        </r>
      </text>
    </comment>
    <comment ref="F67" authorId="1" shapeId="0" xr:uid="{25D87F1E-E193-4033-AFF1-CCF7EE69010B}">
      <text>
        <r>
          <rPr>
            <b/>
            <sz val="9"/>
            <color indexed="81"/>
            <rFont val="Tahoma"/>
            <family val="2"/>
          </rPr>
          <t xml:space="preserve">This cell will autopopulate based on proration percentage.  Enter applicable amounts in columns C (Commercial Proposed) and D (Total Project Proposed). </t>
        </r>
        <r>
          <rPr>
            <b/>
            <sz val="9"/>
            <color indexed="10"/>
            <rFont val="Tahoma"/>
            <family val="2"/>
          </rPr>
          <t xml:space="preserve"> For CalHFA MHSA projects enter 0 here.</t>
        </r>
      </text>
    </comment>
    <comment ref="G67" authorId="1" shapeId="0" xr:uid="{00000000-0006-0000-0300-000075000000}">
      <text>
        <r>
          <rPr>
            <b/>
            <sz val="9"/>
            <color indexed="81"/>
            <rFont val="Tahoma"/>
            <family val="2"/>
          </rPr>
          <t xml:space="preserve">This cell will autopopulate based on proration percentage.  Enter applicable amounts in columns C (Commercial Proposed) and D (Total Project Proposed).  </t>
        </r>
      </text>
    </comment>
    <comment ref="F68" authorId="1" shapeId="0" xr:uid="{41C2D290-639C-4484-B0CA-3017B22A615A}">
      <text>
        <r>
          <rPr>
            <b/>
            <sz val="9"/>
            <color indexed="81"/>
            <rFont val="Tahoma"/>
            <family val="2"/>
          </rPr>
          <t xml:space="preserve">This cell will autopopulate based on proration percentage.  Enter applicable amounts in columns C (Commercial Proposed) and D (Total Project Proposed). </t>
        </r>
        <r>
          <rPr>
            <b/>
            <sz val="9"/>
            <color indexed="10"/>
            <rFont val="Tahoma"/>
            <family val="2"/>
          </rPr>
          <t xml:space="preserve"> For CalHFA MHSA projects enter 0 here.</t>
        </r>
      </text>
    </comment>
    <comment ref="G68" authorId="1" shapeId="0" xr:uid="{00000000-0006-0000-0300-000077000000}">
      <text>
        <r>
          <rPr>
            <b/>
            <sz val="9"/>
            <color indexed="81"/>
            <rFont val="Tahoma"/>
            <family val="2"/>
          </rPr>
          <t xml:space="preserve">This cell will autopopulate based on proration percentage.  Enter applicable amounts in columns C (Commercial Proposed) and D (Total Project Proposed).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grodine</author>
    <author>Diane Moroni</author>
    <author>George Rodine</author>
  </authors>
  <commentList>
    <comment ref="B12" authorId="0" shapeId="0" xr:uid="{00000000-0006-0000-0200-00000E000000}">
      <text>
        <r>
          <rPr>
            <sz val="10"/>
            <color indexed="81"/>
            <rFont val="Tahoma"/>
            <family val="2"/>
          </rPr>
          <t>Expenses related to attendance/participation in professional conventions and meetings.</t>
        </r>
      </text>
    </comment>
    <comment ref="B13" authorId="0" shapeId="0" xr:uid="{00000000-0006-0000-0200-00000F000000}">
      <text>
        <r>
          <rPr>
            <sz val="10"/>
            <color indexed="81"/>
            <rFont val="Tahoma"/>
            <family val="2"/>
          </rPr>
          <t>Expenses incurred as a result of utilizing management consultants for administrative related activities, i.e. programming.</t>
        </r>
      </text>
    </comment>
    <comment ref="B14" authorId="0" shapeId="0" xr:uid="{00000000-0006-0000-0200-000010000000}">
      <text>
        <r>
          <rPr>
            <sz val="10"/>
            <color indexed="81"/>
            <rFont val="Tahoma"/>
            <family val="2"/>
          </rPr>
          <t>This account reflects the cost of advertising and marketing the rental property, both during initial rent-up and after the project reaches normal occupancy levels.</t>
        </r>
      </text>
    </comment>
    <comment ref="B15" authorId="0" shapeId="0" xr:uid="{00000000-0006-0000-0200-000011000000}">
      <text>
        <r>
          <rPr>
            <sz val="10"/>
            <color indexed="81"/>
            <rFont val="Tahoma"/>
            <family val="2"/>
          </rPr>
          <t>This account reflects miscellaneous expenses related to the rent-up of vacant units. Examples are commissions and similar fees charged by third parties for referring new tenants to the project and amounts paid to existing tenants to attract new tenants. Note: Allowances given to tenants in lieu of rent are concessions (refer to account 5250).</t>
        </r>
      </text>
    </comment>
    <comment ref="B16" authorId="0" shapeId="0" xr:uid="{00000000-0006-0000-0200-000012000000}">
      <text>
        <r>
          <rPr>
            <sz val="10"/>
            <color indexed="81"/>
            <rFont val="Tahoma"/>
            <family val="2"/>
          </rPr>
          <t>This account is for personnel not associated with provision of Supportive Services. For those salaries, enter the amounts in lines 43, 44 and 45, as appropriate, below
This account reflects salaries for office employees (other than the resident manager) responsible for the front-line operation of the project regardless of whether the employee works on site or in the agent's office. Typical front-line responsibilities include taking applications; screening, certifying, and recertifying tenants; maintaining the project; and accounting for project income and expenses. The account should not include salaries paid to occupancy, maintenance and regional supervisors who carry out the agent's duties for supervising project operations and personnel (these salaries are to be paid from the approved management fee). This account also does not include the project's share of payroll taxes (account 6711) or other employee benefits (account 6723) incurred by the project.</t>
        </r>
      </text>
    </comment>
    <comment ref="B17" authorId="0" shapeId="0" xr:uid="{00000000-0006-0000-0200-000013000000}">
      <text>
        <r>
          <rPr>
            <sz val="10"/>
            <color indexed="81"/>
            <rFont val="Tahoma"/>
            <family val="2"/>
          </rPr>
          <t xml:space="preserve">This account is for expenses not related to the provision of Supportive Services. For office expenses related to Supportive Services, enter that amount under Supportive Services Administrative Overhead on line 46 below
This account reflects office and related expense items; examples include office supplies, postage, stationery, copying, Internet charges, telephone and answering services. </t>
        </r>
      </text>
    </comment>
    <comment ref="B18" authorId="0" shapeId="0" xr:uid="{00000000-0006-0000-0200-000014000000}">
      <text>
        <r>
          <rPr>
            <sz val="10"/>
            <color indexed="81"/>
            <rFont val="Tahoma"/>
            <family val="2"/>
          </rPr>
          <t>This account reflects the rental value of an apartment, otherwise considered potentially rent-producing, but used as the project office or as a model apartment.</t>
        </r>
      </text>
    </comment>
    <comment ref="B19" authorId="1" shapeId="0" xr:uid="{00000000-0006-0000-0200-000015000000}">
      <text>
        <r>
          <rPr>
            <sz val="10"/>
            <color indexed="81"/>
            <rFont val="Tahoma"/>
            <family val="2"/>
          </rPr>
          <t>This account reflects the cost of management agent service contracted for by the project (It does not include the GP Management Fee or the Asset Management Fee). This account does not include charges for bookkeeping or accounting services performed by either the management agent or another party. The amount reported in this account is sometimes a pure percentage of allowable revenue collected.</t>
        </r>
      </text>
    </comment>
    <comment ref="B20" authorId="0" shapeId="0" xr:uid="{00000000-0006-0000-0200-000016000000}">
      <text>
        <r>
          <rPr>
            <sz val="10"/>
            <color indexed="81"/>
            <rFont val="Tahoma"/>
            <family val="2"/>
          </rPr>
          <t>This account reflects salaries paid to a resident manager or superintendent. It does not include the project's share of payroll taxes or other employee benefits or compensation given a resident manager or superintendent in lieu of salary payments.</t>
        </r>
      </text>
    </comment>
    <comment ref="B21" authorId="0" shapeId="0" xr:uid="{00000000-0006-0000-0200-000017000000}">
      <text>
        <r>
          <rPr>
            <sz val="10"/>
            <color indexed="81"/>
            <rFont val="Tahoma"/>
            <family val="2"/>
          </rPr>
          <t>This account reflects the contract rent of any rent free unit provided to administrative personnel (including a resident manager or superintendent) which would otherwise be considered revenue producing. Partial rent reductions given should be reflected in this account as well. This account is not to be used for rent free units provided or rent reductions given to either maintenance or security personnel (see accounts 6521 and 6531).</t>
        </r>
      </text>
    </comment>
    <comment ref="B22" authorId="0" shapeId="0" xr:uid="{00000000-0006-0000-0200-000018000000}">
      <text>
        <r>
          <rPr>
            <sz val="10"/>
            <color indexed="81"/>
            <rFont val="Tahoma"/>
            <family val="2"/>
          </rPr>
          <t xml:space="preserve">This account reflects legal fees or services incurred on behalf of the project. For example, fees incurred for eviction procedures should be reflected in this account. In contrast, legal fees or services related to the mortgagor entity should be reflected in account 7120. </t>
        </r>
      </text>
    </comment>
    <comment ref="B23" authorId="0" shapeId="0" xr:uid="{00000000-0006-0000-0200-000019000000}">
      <text>
        <r>
          <rPr>
            <sz val="10"/>
            <color indexed="81"/>
            <rFont val="Tahoma"/>
            <family val="2"/>
          </rPr>
          <t>This account reflects the auditing expense incurred by the project that is directly related to HCD's requirement for audited financial statements. Amounts incurred for the cost of routine maintenance or review of the project's books and records should not be included in this account (see account 6351).</t>
        </r>
      </text>
    </comment>
    <comment ref="B24" authorId="0" shapeId="0" xr:uid="{00000000-0006-0000-0200-00001A000000}">
      <text>
        <r>
          <rPr>
            <sz val="10"/>
            <color indexed="81"/>
            <rFont val="Tahoma"/>
            <family val="2"/>
          </rPr>
          <t>This account reflects the cost of bookkeeping fees or accounting or computing services not included in the management fee but paid to either the management agent or another party.</t>
        </r>
      </text>
    </comment>
    <comment ref="B25" authorId="0" shapeId="0" xr:uid="{00000000-0006-0000-0200-00001B000000}">
      <text>
        <r>
          <rPr>
            <sz val="10"/>
            <color indexed="81"/>
            <rFont val="Tahoma"/>
            <family val="2"/>
          </rPr>
          <t>This account reflects the amount of tenant bad debts for the period under audit.</t>
        </r>
      </text>
    </comment>
    <comment ref="B26" authorId="0" shapeId="0" xr:uid="{00000000-0006-0000-0200-00001C000000}">
      <text>
        <r>
          <rPr>
            <sz val="10"/>
            <color indexed="81"/>
            <rFont val="Tahoma"/>
            <family val="2"/>
          </rPr>
          <t xml:space="preserve">This Account records administrative expenses not otherwise classified in the 6300 series. Itemized expense detail must be entered below. </t>
        </r>
      </text>
    </comment>
    <comment ref="B27" authorId="1" shapeId="0" xr:uid="{00000000-0006-0000-0200-00001D000000}">
      <text>
        <r>
          <rPr>
            <sz val="10"/>
            <color indexed="81"/>
            <rFont val="Tahoma"/>
            <family val="2"/>
          </rPr>
          <t>This account must equal the sum of accounts 6203 through 6390.</t>
        </r>
        <r>
          <rPr>
            <sz val="9"/>
            <color indexed="81"/>
            <rFont val="Tahoma"/>
            <family val="2"/>
          </rPr>
          <t xml:space="preserve">
</t>
        </r>
      </text>
    </comment>
    <comment ref="B29" authorId="0" shapeId="0" xr:uid="{00000000-0006-0000-0200-00001E000000}">
      <text>
        <r>
          <rPr>
            <sz val="10"/>
            <color indexed="81"/>
            <rFont val="Tahoma"/>
            <family val="2"/>
          </rPr>
          <t>This account reflects the cost of electricity charges billed to the project.</t>
        </r>
      </text>
    </comment>
    <comment ref="B30" authorId="0" shapeId="0" xr:uid="{00000000-0006-0000-0200-00001F000000}">
      <text>
        <r>
          <rPr>
            <sz val="10"/>
            <color indexed="81"/>
            <rFont val="Tahoma"/>
            <family val="2"/>
          </rPr>
          <t>This account reflects the cost of water charges billed to the project.</t>
        </r>
      </text>
    </comment>
    <comment ref="B31" authorId="0" shapeId="0" xr:uid="{00000000-0006-0000-0200-000020000000}">
      <text>
        <r>
          <rPr>
            <sz val="10"/>
            <color indexed="81"/>
            <rFont val="Tahoma"/>
            <family val="2"/>
          </rPr>
          <t>This account reflects the cost of gas charges billed to the project.</t>
        </r>
      </text>
    </comment>
    <comment ref="B32" authorId="0" shapeId="0" xr:uid="{00000000-0006-0000-0200-000021000000}">
      <text>
        <r>
          <rPr>
            <sz val="10"/>
            <color indexed="81"/>
            <rFont val="Tahoma"/>
            <family val="2"/>
          </rPr>
          <t>This account reflects the cost of sewer charges billed to the project.</t>
        </r>
      </text>
    </comment>
    <comment ref="B33" authorId="1" shapeId="0" xr:uid="{00000000-0006-0000-0200-000022000000}">
      <text>
        <r>
          <rPr>
            <sz val="10"/>
            <color indexed="81"/>
            <rFont val="Tahoma"/>
            <family val="2"/>
          </rPr>
          <t>This account must equal the sum of accounts 6450 through 6453.</t>
        </r>
        <r>
          <rPr>
            <sz val="9"/>
            <color indexed="81"/>
            <rFont val="Tahoma"/>
            <family val="2"/>
          </rPr>
          <t xml:space="preserve">
</t>
        </r>
      </text>
    </comment>
    <comment ref="B35" authorId="0" shapeId="0" xr:uid="{00000000-0006-0000-0200-000023000000}">
      <text>
        <r>
          <rPr>
            <sz val="10"/>
            <color indexed="81"/>
            <rFont val="Tahoma"/>
            <family val="2"/>
          </rPr>
          <t>This account reflects the salaries of project employees who perform services including but not limited to janitorial/cleaning, exterminating, grounds, repairs, and decorating. This account does not include the project's share of payroll taxes (FICA and Unemployment) or other employee benefits paid by the project. Supporting detail is not  required for this account unless requested by HCD.</t>
        </r>
      </text>
    </comment>
    <comment ref="B36" authorId="0" shapeId="0" xr:uid="{00000000-0006-0000-0200-000024000000}">
      <text>
        <r>
          <rPr>
            <sz val="10"/>
            <color indexed="81"/>
            <rFont val="Tahoma"/>
            <family val="2"/>
          </rPr>
          <t xml:space="preserve">This account reflects all costs of supplies charged to the project for janitorial/cleaning, exterminating, grounds, repairs, and decorating. </t>
        </r>
      </text>
    </comment>
    <comment ref="B37" authorId="2" shapeId="0" xr:uid="{00000000-0006-0000-0200-000025000000}">
      <text>
        <r>
          <rPr>
            <sz val="10"/>
            <color indexed="81"/>
            <rFont val="Tahoma"/>
            <family val="2"/>
          </rPr>
          <t>This account reflects the cost of contracts the owner or agent executes with third parties on behalf of the project for janitorial/cleaning, exterminating, grounds, repairs, elevator maintenance, swimming pool maintenance, and decorating.</t>
        </r>
      </text>
    </comment>
    <comment ref="B38" authorId="0" shapeId="0" xr:uid="{00000000-0006-0000-0200-000026000000}">
      <text>
        <r>
          <rPr>
            <sz val="10"/>
            <color indexed="81"/>
            <rFont val="Tahoma"/>
            <family val="2"/>
          </rPr>
          <t xml:space="preserve">This account reflects the contract rent of any rent free unit provided to operating and maintenance personnel which would otherwise be considered revenue producing. Partial rent reductions given should be reflected in this account as well. </t>
        </r>
      </text>
    </comment>
    <comment ref="B39" authorId="0" shapeId="0" xr:uid="{00000000-0006-0000-0200-000027000000}">
      <text>
        <r>
          <rPr>
            <sz val="10"/>
            <color indexed="81"/>
            <rFont val="Tahoma"/>
            <family val="2"/>
          </rPr>
          <t>This account reflects the cost of removing garbage and rubbish from the project. The account does not include salaries paid to janitors who collect the trash.</t>
        </r>
      </text>
    </comment>
    <comment ref="B40" authorId="0" shapeId="0" xr:uid="{00000000-0006-0000-0200-000028000000}">
      <text>
        <r>
          <rPr>
            <sz val="10"/>
            <color indexed="81"/>
            <rFont val="Tahoma"/>
            <family val="2"/>
          </rPr>
          <t xml:space="preserve">This account reflects the project's payroll cost attributable to the protection of the project or the cost of a protection contract that the owner or agent executes on behalf of the project. </t>
        </r>
      </text>
    </comment>
    <comment ref="B41" authorId="2" shapeId="0" xr:uid="{00000000-0006-0000-0200-000029000000}">
      <text>
        <r>
          <rPr>
            <sz val="10"/>
            <color indexed="81"/>
            <rFont val="Tahoma"/>
            <family val="2"/>
          </rPr>
          <t>This account reflects the contract rent of any rent free unit provided to security personnel or a unit used for the purpose of security of the project (for example, police substations). Partial rent reductions given should be reflected in this account as well.</t>
        </r>
      </text>
    </comment>
    <comment ref="B42" authorId="0" shapeId="0" xr:uid="{00000000-0006-0000-0200-00002A000000}">
      <text>
        <r>
          <rPr>
            <sz val="10"/>
            <color indexed="81"/>
            <rFont val="Tahoma"/>
            <family val="2"/>
          </rPr>
          <t>This account reflects the cost of repairing and maintaining heating or air conditioning equipment owned by the project.</t>
        </r>
      </text>
    </comment>
    <comment ref="B43" authorId="0" shapeId="0" xr:uid="{00000000-0006-0000-0200-00002B000000}">
      <text>
        <r>
          <rPr>
            <sz val="10"/>
            <color indexed="81"/>
            <rFont val="Tahoma"/>
            <family val="2"/>
          </rPr>
          <t>This account reflects the cost of removing snow from project sidewalks and parking areas.</t>
        </r>
      </text>
    </comment>
    <comment ref="B44" authorId="0" shapeId="0" xr:uid="{00000000-0006-0000-0200-00002C000000}">
      <text>
        <r>
          <rPr>
            <sz val="10"/>
            <color indexed="81"/>
            <rFont val="Tahoma"/>
            <family val="2"/>
          </rPr>
          <t>This account reflects the cost of operating and repairing project motor vehicles and maintenance equipment. Motor vehicle insurance is not included in this account but is charged to account 6720, Property and Liability Insurance (Hazard).</t>
        </r>
      </text>
    </comment>
    <comment ref="B45" authorId="0" shapeId="0" xr:uid="{00000000-0006-0000-0200-00002D000000}">
      <text>
        <r>
          <rPr>
            <sz val="10"/>
            <color indexed="81"/>
            <rFont val="Tahoma"/>
            <family val="2"/>
          </rPr>
          <t>This account should be used to record
the lease expense associated with the
lease of project operators to a second
party operator, or to record expenses
associated with leasing equipment or
facilities.</t>
        </r>
      </text>
    </comment>
    <comment ref="B46" authorId="0" shapeId="0" xr:uid="{00000000-0006-0000-0200-00002E000000}">
      <text>
        <r>
          <rPr>
            <sz val="10"/>
            <color indexed="81"/>
            <rFont val="Tahoma"/>
            <family val="2"/>
          </rPr>
          <t xml:space="preserve">This account reflects the cost of maintenance and repairs not otherwise classified in the 6500 account Series. Itemized expense detail must be entered below.
</t>
        </r>
        <r>
          <rPr>
            <b/>
            <sz val="10"/>
            <color indexed="81"/>
            <rFont val="Tahoma"/>
            <family val="2"/>
          </rPr>
          <t>Do not include costs that will be paid for by a Reserve withdrawal and capitalized on the Financial Statements.</t>
        </r>
      </text>
    </comment>
    <comment ref="B47" authorId="1" shapeId="0" xr:uid="{00000000-0006-0000-0200-00002F000000}">
      <text>
        <r>
          <rPr>
            <sz val="10"/>
            <color indexed="81"/>
            <rFont val="Tahoma"/>
            <family val="2"/>
          </rPr>
          <t>This account must equal the sum of accounts 6510 through 6590.</t>
        </r>
        <r>
          <rPr>
            <sz val="9"/>
            <color indexed="81"/>
            <rFont val="Tahoma"/>
            <family val="2"/>
          </rPr>
          <t xml:space="preserve">
</t>
        </r>
      </text>
    </comment>
    <comment ref="B49" authorId="0" shapeId="0" xr:uid="{00000000-0006-0000-0200-000030000000}">
      <text>
        <r>
          <rPr>
            <sz val="10"/>
            <color indexed="81"/>
            <rFont val="Tahoma"/>
            <family val="2"/>
          </rPr>
          <t xml:space="preserve">This account reflects payments made for real estate taxes of the project. This may represent a payment in lieu of taxes (only in certain jurisdictions), which is generally charged as a percentage of income. </t>
        </r>
      </text>
    </comment>
    <comment ref="B50" authorId="0" shapeId="0" xr:uid="{00000000-0006-0000-0200-000031000000}">
      <text>
        <r>
          <rPr>
            <sz val="10"/>
            <color indexed="81"/>
            <rFont val="Tahoma"/>
            <family val="2"/>
          </rPr>
          <t>This account reflects the project's share of FICA and State and Federal Unemployment taxes.</t>
        </r>
      </text>
    </comment>
    <comment ref="B51" authorId="0" shapeId="0" xr:uid="{00000000-0006-0000-0200-000032000000}">
      <text>
        <r>
          <rPr>
            <sz val="10"/>
            <color indexed="81"/>
            <rFont val="Tahoma"/>
            <family val="2"/>
          </rPr>
          <t>This account reflects the cost of project property and liability insurance.</t>
        </r>
      </text>
    </comment>
    <comment ref="B52" authorId="0" shapeId="0" xr:uid="{00000000-0006-0000-0200-000033000000}">
      <text>
        <r>
          <rPr>
            <sz val="10"/>
            <color indexed="81"/>
            <rFont val="Tahoma"/>
            <family val="2"/>
          </rPr>
          <t>This account reflects the cost of bonding project employees who handle funds.</t>
        </r>
      </text>
    </comment>
    <comment ref="B53" authorId="0" shapeId="0" xr:uid="{00000000-0006-0000-0200-000034000000}">
      <text>
        <r>
          <rPr>
            <sz val="10"/>
            <color indexed="81"/>
            <rFont val="Tahoma"/>
            <family val="2"/>
          </rPr>
          <t>This account reflects the cost of workmen's compensation insurance for project employees.</t>
        </r>
      </text>
    </comment>
    <comment ref="B54" authorId="0" shapeId="0" xr:uid="{00000000-0006-0000-0200-000035000000}">
      <text>
        <r>
          <rPr>
            <sz val="10"/>
            <color indexed="81"/>
            <rFont val="Tahoma"/>
            <family val="2"/>
          </rPr>
          <t>This account reflects the cost of any health insurance and other employee benefits charged to the project.</t>
        </r>
      </text>
    </comment>
    <comment ref="B55" authorId="2" shapeId="0" xr:uid="{00000000-0006-0000-0200-000036000000}">
      <text>
        <r>
          <rPr>
            <sz val="10"/>
            <color indexed="81"/>
            <rFont val="Tahoma"/>
            <family val="2"/>
          </rPr>
          <t>This account reflects any taxes, licenses, permit fees, or cost of insurance assessed to the project and not otherwise categorized in the 6700 Series. If Budgeted Miscellaneous Taxes, Licenses, Permits and Insurance is $1,000 or higher, provide expenditure detail (type and amounts) on Worksheet 4 Explanation of Budget.</t>
        </r>
      </text>
    </comment>
    <comment ref="B56" authorId="1" shapeId="0" xr:uid="{00000000-0006-0000-0200-000037000000}">
      <text>
        <r>
          <rPr>
            <sz val="10"/>
            <color indexed="81"/>
            <rFont val="Tahoma"/>
            <family val="2"/>
          </rPr>
          <t>This account must equal the sum of accounts 6710 through 6790.</t>
        </r>
        <r>
          <rPr>
            <sz val="9"/>
            <color indexed="81"/>
            <rFont val="Tahoma"/>
            <family val="2"/>
          </rPr>
          <t xml:space="preserve">
</t>
        </r>
      </text>
    </comment>
    <comment ref="B57" authorId="3" shapeId="0" xr:uid="{00000000-0006-0000-0200-000038000000}">
      <text>
        <r>
          <rPr>
            <b/>
            <sz val="9"/>
            <color indexed="81"/>
            <rFont val="Tahoma"/>
            <family val="2"/>
          </rPr>
          <t>Renamed for HCD use - HUD Account Title is "Nursing Homes/Assisted Living/ Board &amp; Care/Other Elderly Care Expenses"</t>
        </r>
        <r>
          <rPr>
            <sz val="9"/>
            <color indexed="81"/>
            <rFont val="Tahoma"/>
            <family val="2"/>
          </rPr>
          <t xml:space="preserve">
</t>
        </r>
      </text>
    </comment>
    <comment ref="B58" authorId="0" shapeId="0" xr:uid="{00000000-0006-0000-0200-000039000000}">
      <text>
        <r>
          <rPr>
            <sz val="10"/>
            <color indexed="81"/>
            <rFont val="Tahoma"/>
            <family val="2"/>
          </rPr>
          <t>This line item within account #6990 is to record salary cost of the Staff Supervisor related to Supportive Services for this Project. Percentage to the right relates to the 2017 UMR limits §8314(f)(1) - shall not exceed 10% of total cost of on-site staff salaries (if percentage cell is shaded red, amount exceeds allowable limit).</t>
        </r>
      </text>
    </comment>
    <comment ref="B59" authorId="0" shapeId="0" xr:uid="{00000000-0006-0000-0200-00003A000000}">
      <text>
        <r>
          <rPr>
            <sz val="10"/>
            <color indexed="81"/>
            <rFont val="Tahoma"/>
            <family val="2"/>
          </rPr>
          <t>This line item within account #6990 is to record the salary and benefits expenses related to Supportive Services Coordinator.</t>
        </r>
      </text>
    </comment>
    <comment ref="B60" authorId="0" shapeId="0" xr:uid="{00000000-0006-0000-0200-00003B000000}">
      <text>
        <r>
          <rPr>
            <sz val="10"/>
            <color indexed="81"/>
            <rFont val="Tahoma"/>
            <family val="2"/>
          </rPr>
          <t>This line item within account #6990 is to record Staff salary cost (not Supervisory or Service Coordination) related to Supportive Services for this Project.</t>
        </r>
      </text>
    </comment>
    <comment ref="B61" authorId="0" shapeId="0" xr:uid="{00000000-0006-0000-0200-00003C000000}">
      <text>
        <r>
          <rPr>
            <sz val="10"/>
            <color indexed="81"/>
            <rFont val="Tahoma"/>
            <family val="2"/>
          </rPr>
          <t>This line item within account #6990 is to record Administrative overhead expenses related to Supportive Services for this Project. Percentage to the right relates to the 2017 UMR limits §8314(f)(2) - shall not exceed 15% of total cost of the total Supportive Services Costs paid as operating expenses (if percentage cell is shaded red, amount exceeds allowable limit).</t>
        </r>
      </text>
    </comment>
    <comment ref="B62" authorId="0" shapeId="0" xr:uid="{00000000-0006-0000-0200-00003D000000}">
      <text>
        <r>
          <rPr>
            <sz val="10"/>
            <color indexed="81"/>
            <rFont val="Tahoma"/>
            <family val="2"/>
          </rPr>
          <t>This line item within Account #6990 is to record the cost of the actual Supportive Services delivered to the project's tenants
-</t>
        </r>
        <r>
          <rPr>
            <b/>
            <i/>
            <sz val="10"/>
            <color indexed="81"/>
            <rFont val="Tahoma"/>
            <family val="2"/>
          </rPr>
          <t>See UMR §8301 (t) and (u)</t>
        </r>
        <r>
          <rPr>
            <sz val="10"/>
            <color indexed="81"/>
            <rFont val="Tahoma"/>
            <family val="2"/>
          </rPr>
          <t>.
I</t>
        </r>
        <r>
          <rPr>
            <b/>
            <sz val="10"/>
            <color indexed="81"/>
            <rFont val="Tahoma"/>
            <family val="2"/>
          </rPr>
          <t>temized expense detail must be entered below.</t>
        </r>
        <r>
          <rPr>
            <sz val="10"/>
            <color indexed="81"/>
            <rFont val="Tahoma"/>
            <family val="2"/>
          </rPr>
          <t xml:space="preserve">
For </t>
        </r>
        <r>
          <rPr>
            <b/>
            <sz val="10"/>
            <color indexed="81"/>
            <rFont val="Tahoma"/>
            <family val="2"/>
          </rPr>
          <t>SUHRP</t>
        </r>
        <r>
          <rPr>
            <sz val="10"/>
            <color indexed="81"/>
            <rFont val="Tahoma"/>
            <family val="2"/>
          </rPr>
          <t xml:space="preserve"> and </t>
        </r>
        <r>
          <rPr>
            <b/>
            <sz val="10"/>
            <color indexed="81"/>
            <rFont val="Tahoma"/>
            <family val="2"/>
          </rPr>
          <t>CHRP-R</t>
        </r>
        <r>
          <rPr>
            <sz val="10"/>
            <color indexed="81"/>
            <rFont val="Tahoma"/>
            <family val="2"/>
          </rPr>
          <t xml:space="preserve"> Programs. It is to record tenant care expenses for Group and Nursing Homes, Assisted Living facilities, and Board and Care facilities.
</t>
        </r>
      </text>
    </comment>
    <comment ref="B63" authorId="0" shapeId="0" xr:uid="{00000000-0006-0000-0200-00003E000000}">
      <text>
        <r>
          <rPr>
            <sz val="10"/>
            <color indexed="81"/>
            <rFont val="Tahoma"/>
            <family val="2"/>
          </rPr>
          <t>This account is a combined expense amount for the accounts (6900-6990).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grodine</author>
    <author>A satisfied Microsoft Office user</author>
    <author>Lynne MacIntosh</author>
    <author>George Rodine</author>
  </authors>
  <commentList>
    <comment ref="F10" authorId="0" shapeId="0" xr:uid="{00000000-0006-0000-0600-00000D000000}">
      <text>
        <r>
          <rPr>
            <sz val="9"/>
            <color indexed="81"/>
            <rFont val="Tahoma"/>
            <family val="2"/>
          </rPr>
          <t>If box is checked, Proposed Cash Flow will be used as Approved Cash Flow.  Cell is unprotected and may be overwritten.</t>
        </r>
      </text>
    </comment>
    <comment ref="H10" authorId="0" shapeId="0" xr:uid="{7A0612A2-A73D-4E39-BED6-8F1DA7F36CE0}">
      <text>
        <r>
          <rPr>
            <sz val="9"/>
            <color indexed="81"/>
            <rFont val="Tahoma"/>
            <family val="2"/>
          </rPr>
          <t>If box is checked, Proposed Cash Flow will be used as Approved Cash Flow.  Cell is unprotected and may be overwritten.</t>
        </r>
      </text>
    </comment>
    <comment ref="J10" authorId="0" shapeId="0" xr:uid="{F245CA1A-9D59-47A2-ACEB-6B2057583021}">
      <text>
        <r>
          <rPr>
            <sz val="9"/>
            <color indexed="81"/>
            <rFont val="Tahoma"/>
            <family val="2"/>
          </rPr>
          <t>If box is checked, Proposed Cash Flow will be used as Approved Cash Flow.  Cell is unprotected and may be overwritten.</t>
        </r>
      </text>
    </comment>
    <comment ref="L10" authorId="0" shapeId="0" xr:uid="{016281D2-B941-4C3B-936E-108CFAE9E010}">
      <text>
        <r>
          <rPr>
            <sz val="9"/>
            <color indexed="81"/>
            <rFont val="Tahoma"/>
            <family val="2"/>
          </rPr>
          <t>If box is checked, Proposed Cash Flow will be used as Approved Cash Flow.  Cell is unprotected and may be overwritten.</t>
        </r>
      </text>
    </comment>
    <comment ref="B12" authorId="1" shapeId="0" xr:uid="{00000000-0006-0000-0600-000011000000}">
      <text>
        <r>
          <rPr>
            <sz val="10"/>
            <color indexed="81"/>
            <rFont val="Tahoma"/>
            <family val="2"/>
          </rPr>
          <t>This account records the rent/carrying charges approved at 100% occupancy, less tenant/ shareholder assistance payments, for all residential units (including non- revenue producing units that are expensed).</t>
        </r>
      </text>
    </comment>
    <comment ref="B13" authorId="1" shapeId="0" xr:uid="{00000000-0006-0000-0600-000012000000}">
      <text>
        <r>
          <rPr>
            <sz val="10"/>
            <color indexed="81"/>
            <rFont val="Tahoma"/>
            <family val="2"/>
          </rPr>
          <t>This account records tenant assistance payments that are project- based. Tenant assistance payment programs include the Rent Supplement, Rental Assistance Payment (RAP), and Section 8 programs.</t>
        </r>
      </text>
    </comment>
    <comment ref="B14" authorId="1" shapeId="0" xr:uid="{00000000-0006-0000-0600-000013000000}">
      <text>
        <r>
          <rPr>
            <sz val="10"/>
            <color indexed="81"/>
            <rFont val="Tahoma"/>
            <family val="2"/>
          </rPr>
          <t>This account records gross rental revenue expectancy from stores, offices, or other commercial facilities or uses.</t>
        </r>
      </text>
    </comment>
    <comment ref="F14" authorId="0" shapeId="0" xr:uid="{00000000-0006-0000-0600-000014000000}">
      <text>
        <r>
          <rPr>
            <sz val="9"/>
            <color indexed="81"/>
            <rFont val="Tahoma"/>
            <family val="2"/>
          </rPr>
          <t xml:space="preserve">If approving amounts for this account, use Column H - Approved Non-Assisted Units and Commercial, Line 3.
</t>
        </r>
      </text>
    </comment>
    <comment ref="B15" authorId="1" shapeId="0" xr:uid="{00000000-0006-0000-0600-000015000000}">
      <text>
        <r>
          <rPr>
            <sz val="10"/>
            <color indexed="81"/>
            <rFont val="Tahoma"/>
            <family val="2"/>
          </rPr>
          <t>This account records the gross potential rental revenue from all garage and parking spaces.</t>
        </r>
      </text>
    </comment>
    <comment ref="B16" authorId="1" shapeId="0" xr:uid="{00000000-0006-0000-0600-000016000000}">
      <text>
        <r>
          <rPr>
            <sz val="10"/>
            <color indexed="81"/>
            <rFont val="Tahoma"/>
            <family val="2"/>
          </rPr>
          <t>This account reflects the amount of funds transferred from the Management Improvement and Operating Plan account to reduce mortgage or escrow deficiencies, to cover operating deficits or to meet working capital needs.</t>
        </r>
      </text>
    </comment>
    <comment ref="B17" authorId="1" shapeId="0" xr:uid="{00000000-0006-0000-0600-000017000000}">
      <text>
        <r>
          <rPr>
            <sz val="10"/>
            <color indexed="81"/>
            <rFont val="Tahoma"/>
            <family val="2"/>
          </rPr>
          <t>This account records gross rental revenue expectancy not otherwise described above.</t>
        </r>
      </text>
    </comment>
    <comment ref="B18" authorId="0" shapeId="0" xr:uid="{00000000-0006-0000-0600-000018000000}">
      <text>
        <r>
          <rPr>
            <sz val="10"/>
            <color indexed="81"/>
            <rFont val="Tahoma"/>
            <family val="2"/>
          </rPr>
          <t>This account must equal the sum of accounts 5120 through 5194.</t>
        </r>
      </text>
    </comment>
    <comment ref="B20" authorId="0" shapeId="0" xr:uid="{00000000-0006-0000-0600-000019000000}">
      <text>
        <r>
          <rPr>
            <sz val="10"/>
            <color indexed="81"/>
            <rFont val="Tahoma"/>
            <family val="2"/>
          </rPr>
          <t>This account reflects the rental revenue lost through vacancy of an apartment unit.</t>
        </r>
      </text>
    </comment>
    <comment ref="B21" authorId="1" shapeId="0" xr:uid="{00000000-0006-0000-0600-00001A000000}">
      <text>
        <r>
          <rPr>
            <sz val="10"/>
            <color indexed="81"/>
            <rFont val="Tahoma"/>
            <family val="2"/>
          </rPr>
          <t>This account reflects the rental revenue lost through vacancy of an apartment unit.</t>
        </r>
      </text>
    </comment>
    <comment ref="B22" authorId="1" shapeId="0" xr:uid="{00000000-0006-0000-0600-00001B000000}">
      <text>
        <r>
          <rPr>
            <sz val="10"/>
            <color indexed="81"/>
            <rFont val="Tahoma"/>
            <family val="2"/>
          </rPr>
          <t>This account reflects the rental revenue lost through vacancy of a store or other commercial units.</t>
        </r>
      </text>
    </comment>
    <comment ref="F22" authorId="0" shapeId="0" xr:uid="{00000000-0006-0000-0600-00001C000000}">
      <text>
        <r>
          <rPr>
            <sz val="9"/>
            <color indexed="81"/>
            <rFont val="Tahoma"/>
            <family val="2"/>
          </rPr>
          <t xml:space="preserve">The Approved Stores and Commercial Vacancy amount is not applicable to this Assisted Units category.
</t>
        </r>
      </text>
    </comment>
    <comment ref="H22" authorId="0" shapeId="0" xr:uid="{00000000-0006-0000-0600-00001D000000}">
      <text>
        <r>
          <rPr>
            <sz val="9"/>
            <color indexed="81"/>
            <rFont val="Tahoma"/>
            <family val="2"/>
          </rPr>
          <t xml:space="preserve">Enter the approved Vacancy amount related to Stores and Commercial.
</t>
        </r>
      </text>
    </comment>
    <comment ref="L22" authorId="0" shapeId="0" xr:uid="{00000000-0006-0000-0600-00001E000000}">
      <text>
        <r>
          <rPr>
            <sz val="9"/>
            <color indexed="81"/>
            <rFont val="Tahoma"/>
            <family val="2"/>
          </rPr>
          <t xml:space="preserve">The Approved Stores and Commercial Vacancy amount is not applicable to this Assisted Units category.
</t>
        </r>
      </text>
    </comment>
    <comment ref="B23" authorId="1" shapeId="0" xr:uid="{00000000-0006-0000-0600-00001F000000}">
      <text>
        <r>
          <rPr>
            <sz val="10"/>
            <color indexed="81"/>
            <rFont val="Tahoma"/>
            <family val="2"/>
          </rPr>
          <t>This account reflects the amount provided as rental concessions (i.e., free rent) in connection with the execution of leases of revenue- producing units.</t>
        </r>
      </text>
    </comment>
    <comment ref="B24" authorId="1" shapeId="0" xr:uid="{00000000-0006-0000-0600-000020000000}">
      <text>
        <r>
          <rPr>
            <sz val="10"/>
            <color indexed="81"/>
            <rFont val="Tahoma"/>
            <family val="2"/>
          </rPr>
          <t>This account reflects the rental revenue lost through vacancy of a garage or parking spaces.</t>
        </r>
      </text>
    </comment>
    <comment ref="B25" authorId="1" shapeId="0" xr:uid="{00000000-0006-0000-0600-000021000000}">
      <text>
        <r>
          <rPr>
            <sz val="10"/>
            <color indexed="81"/>
            <rFont val="Tahoma"/>
            <family val="2"/>
          </rPr>
          <t>This account reflects the rental revenue lost through vacancy of any revenue-producing space or equipment not otherwise described above.</t>
        </r>
      </text>
    </comment>
    <comment ref="B26" authorId="0" shapeId="0" xr:uid="{00000000-0006-0000-0600-000022000000}">
      <text>
        <r>
          <rPr>
            <sz val="10"/>
            <color indexed="81"/>
            <rFont val="Tahoma"/>
            <family val="2"/>
          </rPr>
          <t>This account must equal the sum of accounts 5220 through 5290.</t>
        </r>
      </text>
    </comment>
    <comment ref="B27" authorId="0" shapeId="0" xr:uid="{00000000-0006-0000-0600-000023000000}">
      <text>
        <r>
          <rPr>
            <sz val="10"/>
            <color indexed="81"/>
            <rFont val="Tahoma"/>
            <family val="2"/>
          </rPr>
          <t>This account must equal the sum of account 5100T less account 5200T.</t>
        </r>
      </text>
    </comment>
    <comment ref="B28" authorId="1" shapeId="0" xr:uid="{00000000-0006-0000-0600-000024000000}">
      <text>
        <r>
          <rPr>
            <b/>
            <sz val="10"/>
            <color indexed="81"/>
            <rFont val="Tahoma"/>
            <family val="2"/>
          </rPr>
          <t xml:space="preserve">This account is primarily applicable to the SUHRP and CHRP-R Programs and projects regulated by the 2017 UMRs.
</t>
        </r>
        <r>
          <rPr>
            <sz val="10"/>
            <color indexed="81"/>
            <rFont val="Tahoma"/>
            <family val="2"/>
          </rPr>
          <t xml:space="preserve">This account is used to record tenant care revenues for Group and Nursing Homes, Assisted Living facilities, Board &amp; Care facilities, service revenue for project housing elderly or disabled, and to record revenues associated with service coordinators and special purpose grants (drug elimination, congregate housing, etc.). </t>
        </r>
      </text>
    </comment>
    <comment ref="F28" authorId="0" shapeId="0" xr:uid="{00000000-0006-0000-0600-000025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28" authorId="0" shapeId="0" xr:uid="{00000000-0006-0000-0600-000026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30" authorId="1" shapeId="0" xr:uid="{00000000-0006-0000-0600-000027000000}">
      <text>
        <r>
          <rPr>
            <sz val="10"/>
            <color indexed="81"/>
            <rFont val="Tahoma"/>
            <family val="2"/>
          </rPr>
          <t xml:space="preserve">This account is used to record interest and other investment income earned in connection with project operations. </t>
        </r>
        <r>
          <rPr>
            <u/>
            <sz val="10"/>
            <color indexed="81"/>
            <rFont val="Tahoma"/>
            <family val="2"/>
          </rPr>
          <t>DO NOT INCLUDE RESERVE ACCOUNTS INTEREST INCOME.</t>
        </r>
      </text>
    </comment>
    <comment ref="F30" authorId="0" shapeId="0" xr:uid="{00000000-0006-0000-0600-000028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30" authorId="0" shapeId="0" xr:uid="{00000000-0006-0000-0600-000029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31" authorId="1" shapeId="0" xr:uid="{00000000-0006-0000-0600-00002A000000}">
      <text>
        <r>
          <rPr>
            <sz val="10"/>
            <color indexed="81"/>
            <rFont val="Tahoma"/>
            <family val="2"/>
          </rPr>
          <t xml:space="preserve">This account is used to record interest and other investment income earned in connection with project operations. </t>
        </r>
        <r>
          <rPr>
            <u/>
            <sz val="10"/>
            <color indexed="81"/>
            <rFont val="Tahoma"/>
            <family val="2"/>
          </rPr>
          <t>DO NOT INCLUDE RESERVE ACCOUNTS INTEREST INCOME.</t>
        </r>
      </text>
    </comment>
    <comment ref="F31" authorId="0" shapeId="0" xr:uid="{00000000-0006-0000-0600-00002B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31" authorId="0" shapeId="0" xr:uid="{00000000-0006-0000-0600-00002C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32" authorId="1" shapeId="0" xr:uid="{00000000-0006-0000-0600-00002D000000}">
      <text>
        <r>
          <rPr>
            <sz val="10"/>
            <color indexed="81"/>
            <rFont val="Tahoma"/>
            <family val="2"/>
          </rPr>
          <t xml:space="preserve">This account is used to record interest and other investment income earned in connection with project operations. </t>
        </r>
        <r>
          <rPr>
            <u/>
            <sz val="10"/>
            <color indexed="81"/>
            <rFont val="Tahoma"/>
            <family val="2"/>
          </rPr>
          <t>DO NOT INCLUDE RESERVE ACCOUNTS INTEREST INCOME.</t>
        </r>
      </text>
    </comment>
    <comment ref="F32" authorId="0" shapeId="0" xr:uid="{00000000-0006-0000-0600-00002E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32" authorId="0" shapeId="0" xr:uid="{00000000-0006-0000-0600-00002F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34" authorId="1" shapeId="0" xr:uid="{00000000-0006-0000-0600-000030000000}">
      <text>
        <r>
          <rPr>
            <sz val="10"/>
            <color indexed="81"/>
            <rFont val="Tahoma"/>
            <family val="2"/>
          </rPr>
          <t>This account records project revenues received from laundry and vending machines owned or leased by the project.</t>
        </r>
      </text>
    </comment>
    <comment ref="F34" authorId="0" shapeId="0" xr:uid="{00000000-0006-0000-0600-000031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34" authorId="0" shapeId="0" xr:uid="{00000000-0006-0000-0600-000032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35" authorId="1" shapeId="0" xr:uid="{00000000-0006-0000-0600-000033000000}">
      <text>
        <r>
          <rPr>
            <sz val="10"/>
            <color indexed="81"/>
            <rFont val="Tahoma"/>
            <family val="2"/>
          </rPr>
          <t>This account reflects charges assessed to tenants for rent checks returned for insufficient funds, late payment of rents, breaking the lease, and all other extraneous fees that have to do with lease/tenant. This account also includes damage payments received from HUD and forfeited security deposits.</t>
        </r>
      </text>
    </comment>
    <comment ref="F35" authorId="0" shapeId="0" xr:uid="{00000000-0006-0000-0600-000034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35" authorId="0" shapeId="0" xr:uid="{00000000-0006-0000-0600-000035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36" authorId="1" shapeId="0" xr:uid="{00000000-0006-0000-0600-000036000000}">
      <text>
        <r>
          <rPr>
            <sz val="10"/>
            <color indexed="81"/>
            <rFont val="Tahoma"/>
            <family val="2"/>
          </rPr>
          <t>This account reflects project revenues not otherwise described in the above revenue accounts; it may also include revenue from non-commercial rental space.</t>
        </r>
      </text>
    </comment>
    <comment ref="F36" authorId="0" shapeId="0" xr:uid="{00000000-0006-0000-0600-000037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36" authorId="0" shapeId="0" xr:uid="{00000000-0006-0000-0600-000038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37" authorId="0" shapeId="0" xr:uid="{00000000-0006-0000-0600-000039000000}">
      <text>
        <r>
          <rPr>
            <sz val="10"/>
            <color indexed="81"/>
            <rFont val="Tahoma"/>
            <family val="2"/>
          </rPr>
          <t>This account must equal the sum of accounts 5910 through 5990.</t>
        </r>
        <r>
          <rPr>
            <sz val="9"/>
            <color indexed="81"/>
            <rFont val="Tahoma"/>
            <family val="2"/>
          </rPr>
          <t xml:space="preserve">
</t>
        </r>
      </text>
    </comment>
    <comment ref="B38" authorId="0" shapeId="0" xr:uid="{00000000-0006-0000-0600-00003A000000}">
      <text>
        <r>
          <rPr>
            <sz val="10"/>
            <color indexed="81"/>
            <rFont val="Tahoma"/>
            <family val="2"/>
          </rPr>
          <t>This account must equal the sum of accounts 5910 through 5990.</t>
        </r>
        <r>
          <rPr>
            <sz val="9"/>
            <color indexed="81"/>
            <rFont val="Tahoma"/>
            <family val="2"/>
          </rPr>
          <t xml:space="preserve">
</t>
        </r>
      </text>
    </comment>
    <comment ref="B41" authorId="1" shapeId="0" xr:uid="{00000000-0006-0000-0600-00003B000000}">
      <text>
        <r>
          <rPr>
            <sz val="10"/>
            <color indexed="81"/>
            <rFont val="Tahoma"/>
            <family val="2"/>
          </rPr>
          <t>Required cash payments for interest on, and retirement of the principal amount of, a debt.</t>
        </r>
      </text>
    </comment>
    <comment ref="B42" authorId="0" shapeId="0" xr:uid="{00000000-0006-0000-0600-00003C000000}">
      <text>
        <r>
          <rPr>
            <sz val="9"/>
            <color indexed="81"/>
            <rFont val="Tahoma"/>
            <family val="2"/>
          </rPr>
          <t>Do not include Fees including Bond, Issuer, Trustee.
Specify Lender name at right.</t>
        </r>
      </text>
    </comment>
    <comment ref="F42" authorId="0" shapeId="0" xr:uid="{00000000-0006-0000-0600-00003D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42" authorId="0" shapeId="0" xr:uid="{00000000-0006-0000-0600-00003E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43" authorId="0" shapeId="0" xr:uid="{00000000-0006-0000-0600-00003F000000}">
      <text>
        <r>
          <rPr>
            <sz val="9"/>
            <color indexed="81"/>
            <rFont val="Tahoma"/>
            <family val="2"/>
          </rPr>
          <t>Do not include Fees including Bond, Issuer, Trustee.
Specify Lender name at right.</t>
        </r>
      </text>
    </comment>
    <comment ref="F43" authorId="0" shapeId="0" xr:uid="{00000000-0006-0000-0600-000040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43" authorId="0" shapeId="0" xr:uid="{00000000-0006-0000-0600-000041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44" authorId="0" shapeId="0" xr:uid="{00000000-0006-0000-0600-000042000000}">
      <text>
        <r>
          <rPr>
            <sz val="9"/>
            <color indexed="81"/>
            <rFont val="Tahoma"/>
            <family val="2"/>
          </rPr>
          <t>Do not include Fees including Bond, Issuer, Trustee.
Specify Lender name at right.</t>
        </r>
      </text>
    </comment>
    <comment ref="F44" authorId="0" shapeId="0" xr:uid="{00000000-0006-0000-0600-000043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44" authorId="0" shapeId="0" xr:uid="{00000000-0006-0000-0600-000044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45" authorId="1" shapeId="0" xr:uid="{C92FF2E5-287E-4D1D-AE7B-5CE3BD8833F5}">
      <text>
        <r>
          <rPr>
            <sz val="10"/>
            <color indexed="81"/>
            <rFont val="Tahoma"/>
            <family val="2"/>
          </rPr>
          <t>Monthly or annual loan and/or interest payments required by the note and deed of trust for certain HCD loans OR 0.42% annual interest payment required for MHP loans AND/OR CalHFA Servicing/Monitoring Fee.</t>
        </r>
      </text>
    </comment>
    <comment ref="F45" authorId="0" shapeId="0" xr:uid="{00000000-0006-0000-0600-000046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45" authorId="0" shapeId="0" xr:uid="{00000000-0006-0000-0600-000047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46" authorId="1" shapeId="0" xr:uid="{00000000-0006-0000-0600-000048000000}">
      <text>
        <r>
          <rPr>
            <sz val="10"/>
            <color indexed="81"/>
            <rFont val="Tahoma"/>
            <family val="2"/>
          </rPr>
          <t>Payments of monthly or annual rent required by a lease.</t>
        </r>
        <r>
          <rPr>
            <sz val="8"/>
            <color indexed="81"/>
            <rFont val="Tahoma"/>
            <family val="2"/>
          </rPr>
          <t xml:space="preserve">
</t>
        </r>
      </text>
    </comment>
    <comment ref="F46" authorId="0" shapeId="0" xr:uid="{00000000-0006-0000-0600-000049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46" authorId="0" shapeId="0" xr:uid="{00000000-0006-0000-0600-00004A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47" authorId="0" shapeId="0" xr:uid="{00000000-0006-0000-0600-00004B000000}">
      <text>
        <r>
          <rPr>
            <sz val="9"/>
            <color indexed="81"/>
            <rFont val="Tahoma"/>
            <family val="2"/>
          </rPr>
          <t>This account reflects financial expenses not otherwise classified in the 6800 series. This account also includes fees paid to a bond trustee or other annual loan fees.</t>
        </r>
      </text>
    </comment>
    <comment ref="F47" authorId="0" shapeId="0" xr:uid="{00000000-0006-0000-0600-00004C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47" authorId="0" shapeId="0" xr:uid="{00000000-0006-0000-0600-00004D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50" authorId="1" shapeId="0" xr:uid="{00000000-0006-0000-0600-00004E000000}">
      <text>
        <r>
          <rPr>
            <sz val="10"/>
            <color indexed="81"/>
            <rFont val="Tahoma"/>
            <family val="2"/>
          </rPr>
          <t>Includes 1321.  Cash and investments held by mortgagee or mortgagor (as required) for replacements as set forth in the Regulatory Agreement.  This account may include amounts that are reported in separately established painting reserve accounts.</t>
        </r>
      </text>
    </comment>
    <comment ref="F50" authorId="0" shapeId="0" xr:uid="{00000000-0006-0000-0600-00004F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50" authorId="0" shapeId="0" xr:uid="{00000000-0006-0000-0600-000050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51" authorId="1" shapeId="0" xr:uid="{00000000-0006-0000-0600-000051000000}">
      <text>
        <r>
          <rPr>
            <sz val="10"/>
            <color indexed="81"/>
            <rFont val="Tahoma"/>
            <family val="2"/>
          </rPr>
          <t>This account is used to maintain a fund for general operation expenses.</t>
        </r>
      </text>
    </comment>
    <comment ref="F51" authorId="0" shapeId="0" xr:uid="{00000000-0006-0000-0600-000052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51" authorId="0" shapeId="0" xr:uid="{00000000-0006-0000-0600-000053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52" authorId="1" shapeId="0" xr:uid="{00000000-0006-0000-0600-000054000000}">
      <text>
        <r>
          <rPr>
            <sz val="10"/>
            <color indexed="81"/>
            <rFont val="Tahoma"/>
            <family val="2"/>
          </rPr>
          <t xml:space="preserve">Any other cash and investments held by the mortgagee for mortgagor for which lender approval is required for withdrawals. </t>
        </r>
      </text>
    </comment>
    <comment ref="F52" authorId="0" shapeId="0" xr:uid="{00000000-0006-0000-0600-000055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52" authorId="0" shapeId="0" xr:uid="{00000000-0006-0000-0600-000056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F53" authorId="0" shapeId="0" xr:uid="{00000000-0006-0000-0600-000057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53" authorId="0" shapeId="0" xr:uid="{00000000-0006-0000-0600-000058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F54" authorId="0" shapeId="0" xr:uid="{00000000-0006-0000-0600-000059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54" authorId="0" shapeId="0" xr:uid="{00000000-0006-0000-0600-00005A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55" authorId="0" shapeId="0" xr:uid="{00000000-0006-0000-0600-00005B000000}">
      <text>
        <r>
          <rPr>
            <sz val="9"/>
            <color indexed="81"/>
            <rFont val="Tahoma"/>
            <family val="2"/>
          </rPr>
          <t>Sum of all reserve accounts deposits.</t>
        </r>
      </text>
    </comment>
    <comment ref="B58" authorId="2" shapeId="0" xr:uid="{00000000-0006-0000-0600-00005C000000}">
      <text>
        <r>
          <rPr>
            <sz val="10"/>
            <color indexed="81"/>
            <rFont val="Tahoma"/>
            <family val="2"/>
          </rPr>
          <t>Amount of financial contribution from Borrower necessary to pay for operating costs that exceeded expected revenue.</t>
        </r>
      </text>
    </comment>
    <comment ref="F58" authorId="0" shapeId="0" xr:uid="{00000000-0006-0000-0600-00005D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58" authorId="0" shapeId="0" xr:uid="{00000000-0006-0000-0600-00005E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F59" authorId="0" shapeId="0" xr:uid="{00000000-0006-0000-0600-00005F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59" authorId="0" shapeId="0" xr:uid="{00000000-0006-0000-0600-000060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F60" authorId="0" shapeId="0" xr:uid="{00000000-0006-0000-0600-000061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60" authorId="0" shapeId="0" xr:uid="{00000000-0006-0000-0600-000062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F61" authorId="0" shapeId="0" xr:uid="{00000000-0006-0000-0600-000063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61" authorId="0" shapeId="0" xr:uid="{00000000-0006-0000-0600-000064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63" authorId="3" shapeId="0" xr:uid="{00000000-0006-0000-0600-000065000000}">
      <text>
        <r>
          <rPr>
            <b/>
            <sz val="9"/>
            <color indexed="81"/>
            <rFont val="Tahoma"/>
            <family val="2"/>
          </rPr>
          <t>These Use of Cash Flow items are subject to final HCD approval during the review/approval of the Annual Report.</t>
        </r>
        <r>
          <rPr>
            <sz val="9"/>
            <color indexed="81"/>
            <rFont val="Tahoma"/>
            <family val="2"/>
          </rPr>
          <t xml:space="preserve">
</t>
        </r>
      </text>
    </comment>
    <comment ref="F64" authorId="0" shapeId="0" xr:uid="{00000000-0006-0000-0600-000066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64" authorId="0" shapeId="0" xr:uid="{00000000-0006-0000-0600-000067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65" authorId="2" shapeId="0" xr:uid="{52029877-EEFD-4189-88AD-D182D005A52B}">
      <text>
        <r>
          <rPr>
            <sz val="10"/>
            <color indexed="81"/>
            <rFont val="Tahoma"/>
            <family val="2"/>
          </rPr>
          <t>Payment to Sponsor for asset management and partnership fees/costs per the Regulatory Agreement. Only applies to MHP and HOME Projects funded under the 09/29/03 MHP/Uniform Multifamily Regulations (UMR) or later.</t>
        </r>
      </text>
    </comment>
    <comment ref="F65" authorId="0" shapeId="0" xr:uid="{00000000-0006-0000-0600-00006C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65" authorId="0" shapeId="0" xr:uid="{00000000-0006-0000-0600-00006D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66" authorId="1" shapeId="0" xr:uid="{00000000-0006-0000-0600-00006E000000}">
      <text>
        <r>
          <rPr>
            <sz val="10"/>
            <color indexed="81"/>
            <rFont val="Tahoma"/>
            <family val="2"/>
          </rPr>
          <t>Cash or other benefits derived from the operation of a rental housing development and  distributed (typically annually, upon HCD approval of audit) to the borrower and to other parties having beneficial interests in the development, after payment of all due and outstanding obligations incurred in connection with the development, as set forth in the Regulatory Agreement.</t>
        </r>
      </text>
    </comment>
    <comment ref="F66" authorId="0" shapeId="0" xr:uid="{00000000-0006-0000-0600-00006F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66" authorId="0" shapeId="0" xr:uid="{00000000-0006-0000-0600-000070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67" authorId="1" shapeId="0" xr:uid="{00000000-0006-0000-0600-000071000000}">
      <text>
        <r>
          <rPr>
            <sz val="10"/>
            <color indexed="81"/>
            <rFont val="Tahoma"/>
            <family val="2"/>
          </rPr>
          <t>Proposed cash payments on residual receipts debt.</t>
        </r>
      </text>
    </comment>
    <comment ref="F67" authorId="0" shapeId="0" xr:uid="{00000000-0006-0000-0600-000072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67" authorId="0" shapeId="0" xr:uid="{00000000-0006-0000-0600-000073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B68" authorId="1" shapeId="0" xr:uid="{00000000-0006-0000-0600-000074000000}">
      <text>
        <r>
          <rPr>
            <sz val="10"/>
            <color indexed="81"/>
            <rFont val="Tahoma"/>
            <family val="2"/>
          </rPr>
          <t>Required payments of interest only on an HCD term loan, which typically requires the principal to be repaid in a lump sum balloon payment at maturity.</t>
        </r>
      </text>
    </comment>
    <comment ref="F68" authorId="0" shapeId="0" xr:uid="{00000000-0006-0000-0600-000075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68" authorId="0" shapeId="0" xr:uid="{00000000-0006-0000-0600-000076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F69" authorId="0" shapeId="0" xr:uid="{00000000-0006-0000-0600-000077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 ref="H69" authorId="0" shapeId="0" xr:uid="{00000000-0006-0000-0600-000078000000}">
      <text>
        <r>
          <rPr>
            <b/>
            <sz val="9"/>
            <color indexed="81"/>
            <rFont val="Tahoma"/>
            <family val="2"/>
          </rPr>
          <t xml:space="preserve">This cell will autopopulate based on proration percentage.  Enter applicable amounts in columns H (HCD Apprvd Budget - Commercial) and G ( HCD Apprvd Budget - Total Project).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grodine</author>
    <author>A satisfied Microsoft Office user</author>
    <author>Diane Moroni</author>
    <author>George Rodine</author>
  </authors>
  <commentList>
    <comment ref="G10" authorId="0" shapeId="0" xr:uid="{5E134255-3DDA-46B5-B64D-A6378F7323BA}">
      <text>
        <r>
          <rPr>
            <sz val="9"/>
            <color indexed="81"/>
            <rFont val="Tahoma"/>
            <family val="2"/>
          </rPr>
          <t>If box is checked, proposed budget is used as the approved.</t>
        </r>
      </text>
    </comment>
    <comment ref="B12" authorId="1" shapeId="0" xr:uid="{00000000-0006-0000-0400-00000E000000}">
      <text>
        <r>
          <rPr>
            <sz val="10"/>
            <color indexed="81"/>
            <rFont val="Tahoma"/>
            <family val="2"/>
          </rPr>
          <t>Expenses related to attendance/participation in professional conventions and meetings.</t>
        </r>
      </text>
    </comment>
    <comment ref="B13" authorId="1" shapeId="0" xr:uid="{00000000-0006-0000-0400-00000F000000}">
      <text>
        <r>
          <rPr>
            <sz val="10"/>
            <color indexed="81"/>
            <rFont val="Tahoma"/>
            <family val="2"/>
          </rPr>
          <t>Expenses incurred as a result of utilizing management consultants for administrative related activities, i.e. programming.</t>
        </r>
      </text>
    </comment>
    <comment ref="B14" authorId="1" shapeId="0" xr:uid="{00000000-0006-0000-0400-000010000000}">
      <text>
        <r>
          <rPr>
            <sz val="10"/>
            <color indexed="81"/>
            <rFont val="Tahoma"/>
            <family val="2"/>
          </rPr>
          <t>This account reflects the cost of advertising and marketing the rental property, both during initial rent-up and after the project reaches normal occupancy levels.</t>
        </r>
      </text>
    </comment>
    <comment ref="B15" authorId="1" shapeId="0" xr:uid="{00000000-0006-0000-0400-000011000000}">
      <text>
        <r>
          <rPr>
            <sz val="10"/>
            <color indexed="81"/>
            <rFont val="Tahoma"/>
            <family val="2"/>
          </rPr>
          <t>This account reflects miscellaneous expenses related to the rent-up of vacant units. Examples are commissions and similar fees charged by third parties for referring new tenants to the project and amounts paid to existing tenants to attract new tenants. Note: Allowances given to tenants in lieu of rent are concessions (refer to account 5250).</t>
        </r>
      </text>
    </comment>
    <comment ref="B16" authorId="1" shapeId="0" xr:uid="{00000000-0006-0000-0400-000012000000}">
      <text>
        <r>
          <rPr>
            <sz val="10"/>
            <color indexed="81"/>
            <rFont val="Tahoma"/>
            <family val="2"/>
          </rPr>
          <t>This account is for personnel not associated with provision of Supportive Services. For those salaries, enter the amounts in lines 43, 44 and 45, as appropriate, below
This account reflects salaries for office employees (other than the resident manager) responsible for the front-line operation of the project regardless of whether the employee works on site or in the agent's office. Typical front-line responsibilities include taking applications; screening, certifying, and recertifying tenants; maintaining the project; and accounting for project income and expenses. The account should not include salaries paid to occupancy, maintenance and regional supervisors who carry out the agent's duties for supervising project operations and personnel (these salaries are to be paid from the approved management fee). This account also does not include the project's share of payroll taxes (account 6711) or other employee benefits (account 6723) incurred by the project.</t>
        </r>
      </text>
    </comment>
    <comment ref="B17" authorId="1" shapeId="0" xr:uid="{00000000-0006-0000-0400-000013000000}">
      <text>
        <r>
          <rPr>
            <sz val="10"/>
            <color indexed="81"/>
            <rFont val="Tahoma"/>
            <family val="2"/>
          </rPr>
          <t xml:space="preserve">This account is for expenses not related to the provision of Supportive Services. For office expenses related to Supportive Services, enter that amount under Supportive Services Administrative Overhead on line 46 below
This account reflects office and related expense items; examples include office supplies, postage, stationery, copying, Internet charges, telephone and answering services. </t>
        </r>
      </text>
    </comment>
    <comment ref="B18" authorId="1" shapeId="0" xr:uid="{00000000-0006-0000-0400-000014000000}">
      <text>
        <r>
          <rPr>
            <sz val="10"/>
            <color indexed="81"/>
            <rFont val="Tahoma"/>
            <family val="2"/>
          </rPr>
          <t>This account reflects the rental value of an apartment, otherwise considered potentially rent-producing, but used as the project office or as a model apartment.</t>
        </r>
      </text>
    </comment>
    <comment ref="B19" authorId="0" shapeId="0" xr:uid="{00000000-0006-0000-0400-000015000000}">
      <text>
        <r>
          <rPr>
            <sz val="10"/>
            <color indexed="81"/>
            <rFont val="Tahoma"/>
            <family val="2"/>
          </rPr>
          <t>This account reflects the cost of management agent service contracted for by the project (It does not include the GP Management Fee or the Asset Management Fee). This account does not include charges for bookkeeping or accounting services performed by either the management agent or another party. The amount reported in this account is sometimes a pure percentage of allowable revenue collected.</t>
        </r>
      </text>
    </comment>
    <comment ref="B20" authorId="1" shapeId="0" xr:uid="{00000000-0006-0000-0400-000016000000}">
      <text>
        <r>
          <rPr>
            <sz val="10"/>
            <color indexed="81"/>
            <rFont val="Tahoma"/>
            <family val="2"/>
          </rPr>
          <t>This account reflects salaries paid to a resident manager or superintendent. It does not include the project's share of payroll taxes or other employee benefits or compensation given a resident manager or superintendent in lieu of salary payments.</t>
        </r>
      </text>
    </comment>
    <comment ref="B21" authorId="1" shapeId="0" xr:uid="{00000000-0006-0000-0400-000017000000}">
      <text>
        <r>
          <rPr>
            <sz val="10"/>
            <color indexed="81"/>
            <rFont val="Tahoma"/>
            <family val="2"/>
          </rPr>
          <t>This account reflects the contract rent of any rent free unit provided to administrative personnel (including a resident manager or superintendent) which would otherwise be considered revenue producing. Partial rent reductions given should be reflected in this account as well. This account is not to be used for rent free units provided or rent reductions given to either maintenance or security personnel (see accounts 6521 and 6531).</t>
        </r>
      </text>
    </comment>
    <comment ref="B22" authorId="1" shapeId="0" xr:uid="{00000000-0006-0000-0400-000018000000}">
      <text>
        <r>
          <rPr>
            <sz val="10"/>
            <color indexed="81"/>
            <rFont val="Tahoma"/>
            <family val="2"/>
          </rPr>
          <t xml:space="preserve">This account reflects legal fees or services incurred on behalf of the project. For example, fees incurred for eviction procedures should be reflected in this account. In contrast, legal fees or services related to the mortgagor entity should be reflected in account 7120. </t>
        </r>
      </text>
    </comment>
    <comment ref="B23" authorId="1" shapeId="0" xr:uid="{00000000-0006-0000-0400-000019000000}">
      <text>
        <r>
          <rPr>
            <sz val="10"/>
            <color indexed="81"/>
            <rFont val="Tahoma"/>
            <family val="2"/>
          </rPr>
          <t>This account reflects the auditing expense incurred by the project that is directly related to HCD's requirement for audited financial statements. Amounts incurred for the cost of routine maintenance or review of the project's books and records should not be included in this account (see account 6351).</t>
        </r>
      </text>
    </comment>
    <comment ref="B24" authorId="1" shapeId="0" xr:uid="{00000000-0006-0000-0400-00001A000000}">
      <text>
        <r>
          <rPr>
            <sz val="10"/>
            <color indexed="81"/>
            <rFont val="Tahoma"/>
            <family val="2"/>
          </rPr>
          <t>This account reflects the cost of bookkeeping fees or accounting or computing services not included in the management fee but paid to either the management agent or another party.</t>
        </r>
      </text>
    </comment>
    <comment ref="B25" authorId="1" shapeId="0" xr:uid="{00000000-0006-0000-0400-00001B000000}">
      <text>
        <r>
          <rPr>
            <sz val="10"/>
            <color indexed="81"/>
            <rFont val="Tahoma"/>
            <family val="2"/>
          </rPr>
          <t>This account reflects the amount of tenant bad debts for the period under audit.</t>
        </r>
      </text>
    </comment>
    <comment ref="B26" authorId="1" shapeId="0" xr:uid="{00000000-0006-0000-0400-00001C000000}">
      <text>
        <r>
          <rPr>
            <sz val="10"/>
            <color indexed="81"/>
            <rFont val="Tahoma"/>
            <family val="2"/>
          </rPr>
          <t xml:space="preserve">This Account records administrative expenses not otherwise classified in the 6300 series. Itemized expense detail must be entered below. </t>
        </r>
      </text>
    </comment>
    <comment ref="B27" authorId="0" shapeId="0" xr:uid="{00000000-0006-0000-0400-00001D000000}">
      <text>
        <r>
          <rPr>
            <sz val="10"/>
            <color indexed="81"/>
            <rFont val="Tahoma"/>
            <family val="2"/>
          </rPr>
          <t>This account must equal the sum of accounts 6203 through 6390.</t>
        </r>
        <r>
          <rPr>
            <sz val="9"/>
            <color indexed="81"/>
            <rFont val="Tahoma"/>
            <family val="2"/>
          </rPr>
          <t xml:space="preserve">
</t>
        </r>
      </text>
    </comment>
    <comment ref="B29" authorId="1" shapeId="0" xr:uid="{00000000-0006-0000-0400-00001E000000}">
      <text>
        <r>
          <rPr>
            <sz val="10"/>
            <color indexed="81"/>
            <rFont val="Tahoma"/>
            <family val="2"/>
          </rPr>
          <t>This account reflects the cost of electricity charges billed to the project.</t>
        </r>
      </text>
    </comment>
    <comment ref="B30" authorId="1" shapeId="0" xr:uid="{00000000-0006-0000-0400-00001F000000}">
      <text>
        <r>
          <rPr>
            <sz val="10"/>
            <color indexed="81"/>
            <rFont val="Tahoma"/>
            <family val="2"/>
          </rPr>
          <t>This account reflects the cost of water charges billed to the project.</t>
        </r>
      </text>
    </comment>
    <comment ref="B31" authorId="1" shapeId="0" xr:uid="{00000000-0006-0000-0400-000020000000}">
      <text>
        <r>
          <rPr>
            <sz val="10"/>
            <color indexed="81"/>
            <rFont val="Tahoma"/>
            <family val="2"/>
          </rPr>
          <t>This account reflects the cost of gas charges billed to the project.</t>
        </r>
      </text>
    </comment>
    <comment ref="B32" authorId="1" shapeId="0" xr:uid="{00000000-0006-0000-0400-000021000000}">
      <text>
        <r>
          <rPr>
            <sz val="10"/>
            <color indexed="81"/>
            <rFont val="Tahoma"/>
            <family val="2"/>
          </rPr>
          <t>This account reflects the cost of sewer charges billed to the project.</t>
        </r>
      </text>
    </comment>
    <comment ref="B33" authorId="0" shapeId="0" xr:uid="{00000000-0006-0000-0400-000022000000}">
      <text>
        <r>
          <rPr>
            <sz val="10"/>
            <color indexed="81"/>
            <rFont val="Tahoma"/>
            <family val="2"/>
          </rPr>
          <t>This account must equal the sum of accounts 6450 through 6453.</t>
        </r>
        <r>
          <rPr>
            <sz val="9"/>
            <color indexed="81"/>
            <rFont val="Tahoma"/>
            <family val="2"/>
          </rPr>
          <t xml:space="preserve">
</t>
        </r>
      </text>
    </comment>
    <comment ref="B35" authorId="1" shapeId="0" xr:uid="{00000000-0006-0000-0400-000023000000}">
      <text>
        <r>
          <rPr>
            <sz val="10"/>
            <color indexed="81"/>
            <rFont val="Tahoma"/>
            <family val="2"/>
          </rPr>
          <t>This account reflects the salaries of project employees who perform services including but not limited to janitorial/cleaning, exterminating, grounds, repairs, and decorating. This account does not include the project's share of payroll taxes (FICA and Unemployment) or other employee benefits paid by the project. Supporting detail is not  required for this account unless requested by HCD.</t>
        </r>
      </text>
    </comment>
    <comment ref="B36" authorId="1" shapeId="0" xr:uid="{00000000-0006-0000-0400-000024000000}">
      <text>
        <r>
          <rPr>
            <sz val="10"/>
            <color indexed="81"/>
            <rFont val="Tahoma"/>
            <family val="2"/>
          </rPr>
          <t xml:space="preserve">This account reflects all costs of supplies charged to the project for janitorial/cleaning, exterminating, grounds, repairs, and decorating. </t>
        </r>
      </text>
    </comment>
    <comment ref="B37" authorId="2" shapeId="0" xr:uid="{00000000-0006-0000-0400-000025000000}">
      <text>
        <r>
          <rPr>
            <sz val="10"/>
            <color indexed="81"/>
            <rFont val="Tahoma"/>
            <family val="2"/>
          </rPr>
          <t>This account reflects the cost of contracts the owner or agent executes with third parties on behalf of the project for janitorial/cleaning, exterminating, grounds, repairs, elevator maintenance, swimming pool maintenance, and decorating.</t>
        </r>
      </text>
    </comment>
    <comment ref="B38" authorId="1" shapeId="0" xr:uid="{00000000-0006-0000-0400-000026000000}">
      <text>
        <r>
          <rPr>
            <sz val="10"/>
            <color indexed="81"/>
            <rFont val="Tahoma"/>
            <family val="2"/>
          </rPr>
          <t xml:space="preserve">This account reflects the contract rent of any rent free unit provided to operating and maintenance personnel which would otherwise be considered revenue producing. Partial rent reductions given should be reflected in this account as well. </t>
        </r>
      </text>
    </comment>
    <comment ref="B39" authorId="1" shapeId="0" xr:uid="{00000000-0006-0000-0400-000027000000}">
      <text>
        <r>
          <rPr>
            <sz val="10"/>
            <color indexed="81"/>
            <rFont val="Tahoma"/>
            <family val="2"/>
          </rPr>
          <t>This account reflects the cost of removing garbage and rubbish from the project. The account does not include salaries paid to janitors who collect the trash.</t>
        </r>
      </text>
    </comment>
    <comment ref="B40" authorId="1" shapeId="0" xr:uid="{00000000-0006-0000-0400-000028000000}">
      <text>
        <r>
          <rPr>
            <sz val="10"/>
            <color indexed="81"/>
            <rFont val="Tahoma"/>
            <family val="2"/>
          </rPr>
          <t xml:space="preserve">This account reflects the project's payroll cost attributable to the protection of the project or the cost of a protection contract that the owner or agent executes on behalf of the project. </t>
        </r>
      </text>
    </comment>
    <comment ref="B41" authorId="2" shapeId="0" xr:uid="{00000000-0006-0000-0400-000029000000}">
      <text>
        <r>
          <rPr>
            <sz val="10"/>
            <color indexed="81"/>
            <rFont val="Tahoma"/>
            <family val="2"/>
          </rPr>
          <t>This account reflects the contract rent of any rent free unit provided to security personnel or a unit used for the purpose of security of the project (for example, police substations). Partial rent reductions given should be reflected in this account as well.</t>
        </r>
      </text>
    </comment>
    <comment ref="B42" authorId="1" shapeId="0" xr:uid="{00000000-0006-0000-0400-00002A000000}">
      <text>
        <r>
          <rPr>
            <sz val="10"/>
            <color indexed="81"/>
            <rFont val="Tahoma"/>
            <family val="2"/>
          </rPr>
          <t>This account reflects the cost of repairing and maintaining heating or air conditioning equipment owned by the project.</t>
        </r>
      </text>
    </comment>
    <comment ref="B43" authorId="1" shapeId="0" xr:uid="{00000000-0006-0000-0400-00002B000000}">
      <text>
        <r>
          <rPr>
            <sz val="10"/>
            <color indexed="81"/>
            <rFont val="Tahoma"/>
            <family val="2"/>
          </rPr>
          <t>This account reflects the cost of removing snow from project sidewalks and parking areas.</t>
        </r>
      </text>
    </comment>
    <comment ref="B44" authorId="1" shapeId="0" xr:uid="{00000000-0006-0000-0400-00002C000000}">
      <text>
        <r>
          <rPr>
            <sz val="10"/>
            <color indexed="81"/>
            <rFont val="Tahoma"/>
            <family val="2"/>
          </rPr>
          <t>This account reflects the cost of operating and repairing project motor vehicles and maintenance equipment. Motor vehicle insurance is not included in this account but is charged to account 6720, Property and Liability Insurance (Hazard).</t>
        </r>
      </text>
    </comment>
    <comment ref="B45" authorId="1" shapeId="0" xr:uid="{00000000-0006-0000-0400-00002D000000}">
      <text>
        <r>
          <rPr>
            <sz val="10"/>
            <color indexed="81"/>
            <rFont val="Tahoma"/>
            <family val="2"/>
          </rPr>
          <t>This account should be used to record
the lease expense associated with the
lease of project operators to a second
party operator, or to record expenses
associated with leasing equipment or
facilities.</t>
        </r>
      </text>
    </comment>
    <comment ref="B46" authorId="1" shapeId="0" xr:uid="{00000000-0006-0000-0400-00002E000000}">
      <text>
        <r>
          <rPr>
            <sz val="10"/>
            <color indexed="81"/>
            <rFont val="Tahoma"/>
            <family val="2"/>
          </rPr>
          <t xml:space="preserve">This account reflects the cost of maintenance and repairs not otherwise classified in the 6500 account Series. Itemized expense detail must be entered below.
</t>
        </r>
        <r>
          <rPr>
            <b/>
            <sz val="10"/>
            <color indexed="81"/>
            <rFont val="Tahoma"/>
            <family val="2"/>
          </rPr>
          <t>Do not include costs that will be paid for by a Reserve withdrawal and capitalized on the Financial Statements.</t>
        </r>
      </text>
    </comment>
    <comment ref="B47" authorId="0" shapeId="0" xr:uid="{00000000-0006-0000-0400-00002F000000}">
      <text>
        <r>
          <rPr>
            <sz val="10"/>
            <color indexed="81"/>
            <rFont val="Tahoma"/>
            <family val="2"/>
          </rPr>
          <t>This account must equal the sum of accounts 6510 through 6590.</t>
        </r>
        <r>
          <rPr>
            <sz val="9"/>
            <color indexed="81"/>
            <rFont val="Tahoma"/>
            <family val="2"/>
          </rPr>
          <t xml:space="preserve">
</t>
        </r>
      </text>
    </comment>
    <comment ref="B49" authorId="1" shapeId="0" xr:uid="{00000000-0006-0000-0400-000030000000}">
      <text>
        <r>
          <rPr>
            <sz val="10"/>
            <color indexed="81"/>
            <rFont val="Tahoma"/>
            <family val="2"/>
          </rPr>
          <t xml:space="preserve">This account reflects payments made for real estate taxes of the project. This may represent a payment in lieu of taxes (only in certain jurisdictions), which is generally charged as a percentage of income. </t>
        </r>
      </text>
    </comment>
    <comment ref="B50" authorId="1" shapeId="0" xr:uid="{00000000-0006-0000-0400-000031000000}">
      <text>
        <r>
          <rPr>
            <sz val="10"/>
            <color indexed="81"/>
            <rFont val="Tahoma"/>
            <family val="2"/>
          </rPr>
          <t>This account reflects the project's share of FICA and State and Federal Unemployment taxes.</t>
        </r>
      </text>
    </comment>
    <comment ref="B51" authorId="1" shapeId="0" xr:uid="{00000000-0006-0000-0400-000032000000}">
      <text>
        <r>
          <rPr>
            <sz val="10"/>
            <color indexed="81"/>
            <rFont val="Tahoma"/>
            <family val="2"/>
          </rPr>
          <t>This account reflects the cost of project property and liability insurance.</t>
        </r>
      </text>
    </comment>
    <comment ref="B52" authorId="1" shapeId="0" xr:uid="{00000000-0006-0000-0400-000033000000}">
      <text>
        <r>
          <rPr>
            <sz val="10"/>
            <color indexed="81"/>
            <rFont val="Tahoma"/>
            <family val="2"/>
          </rPr>
          <t>This account reflects the cost of bonding project employees who handle funds.</t>
        </r>
      </text>
    </comment>
    <comment ref="B53" authorId="1" shapeId="0" xr:uid="{00000000-0006-0000-0400-000034000000}">
      <text>
        <r>
          <rPr>
            <sz val="10"/>
            <color indexed="81"/>
            <rFont val="Tahoma"/>
            <family val="2"/>
          </rPr>
          <t>This account reflects the cost of workmen's compensation insurance for project employees.</t>
        </r>
      </text>
    </comment>
    <comment ref="B54" authorId="1" shapeId="0" xr:uid="{00000000-0006-0000-0400-000035000000}">
      <text>
        <r>
          <rPr>
            <sz val="10"/>
            <color indexed="81"/>
            <rFont val="Tahoma"/>
            <family val="2"/>
          </rPr>
          <t>This account reflects the cost of any health insurance and other employee benefits charged to the project.</t>
        </r>
      </text>
    </comment>
    <comment ref="B55" authorId="2" shapeId="0" xr:uid="{00000000-0006-0000-0400-000036000000}">
      <text>
        <r>
          <rPr>
            <sz val="10"/>
            <color indexed="81"/>
            <rFont val="Tahoma"/>
            <family val="2"/>
          </rPr>
          <t>This account reflects any taxes, licenses, permit fees, or cost of insurance assessed to the project and not otherwise categorized in the 6700 Series. If Budgeted Miscellaneous Taxes, Licenses, Permits and Insurance is $1,000 or higher, provide expenditure detail (type and amounts) on Worksheet 4 Explanation of Budget.</t>
        </r>
      </text>
    </comment>
    <comment ref="B56" authorId="0" shapeId="0" xr:uid="{00000000-0006-0000-0400-000037000000}">
      <text>
        <r>
          <rPr>
            <sz val="10"/>
            <color indexed="81"/>
            <rFont val="Tahoma"/>
            <family val="2"/>
          </rPr>
          <t>This account must equal the sum of accounts 6710 through 6790.</t>
        </r>
        <r>
          <rPr>
            <sz val="9"/>
            <color indexed="81"/>
            <rFont val="Tahoma"/>
            <family val="2"/>
          </rPr>
          <t xml:space="preserve">
</t>
        </r>
      </text>
    </comment>
    <comment ref="B57" authorId="3" shapeId="0" xr:uid="{00000000-0006-0000-0400-000038000000}">
      <text>
        <r>
          <rPr>
            <b/>
            <sz val="9"/>
            <color indexed="81"/>
            <rFont val="Tahoma"/>
            <family val="2"/>
          </rPr>
          <t>Renamed for HCD use - HUD Account Title is "Nursing Homes/Assisted Living/ Board &amp; Care/Other Elderly Care Expenses"</t>
        </r>
        <r>
          <rPr>
            <sz val="9"/>
            <color indexed="81"/>
            <rFont val="Tahoma"/>
            <family val="2"/>
          </rPr>
          <t xml:space="preserve">
</t>
        </r>
      </text>
    </comment>
    <comment ref="B58" authorId="1" shapeId="0" xr:uid="{00000000-0006-0000-0400-000039000000}">
      <text>
        <r>
          <rPr>
            <sz val="10"/>
            <color indexed="81"/>
            <rFont val="Tahoma"/>
            <family val="2"/>
          </rPr>
          <t>This line item within account #6990 is to record salary cost of the Staff Supervisor related to Supportive Services for this Project. Percentage to the right relates to the 2017 UMR limits §8314(f)(1) - shall not exceed 10% of total cost of on-site staff salaries.</t>
        </r>
      </text>
    </comment>
    <comment ref="B59" authorId="1" shapeId="0" xr:uid="{00000000-0006-0000-0400-00003A000000}">
      <text>
        <r>
          <rPr>
            <sz val="10"/>
            <color indexed="81"/>
            <rFont val="Tahoma"/>
            <family val="2"/>
          </rPr>
          <t>This line item within account #6990 is to record the salary and benefits expenses related to Supportive Services Coordinator.</t>
        </r>
      </text>
    </comment>
    <comment ref="B60" authorId="1" shapeId="0" xr:uid="{00000000-0006-0000-0400-00003B000000}">
      <text>
        <r>
          <rPr>
            <sz val="10"/>
            <color indexed="81"/>
            <rFont val="Tahoma"/>
            <family val="2"/>
          </rPr>
          <t>This line item within account #6990 is to record Staff salary cost (not Supervisory or Service Coordination) related to Supportive Services for this Project.</t>
        </r>
      </text>
    </comment>
    <comment ref="B61" authorId="1" shapeId="0" xr:uid="{00000000-0006-0000-0400-00003C000000}">
      <text>
        <r>
          <rPr>
            <sz val="10"/>
            <color indexed="81"/>
            <rFont val="Tahoma"/>
            <family val="2"/>
          </rPr>
          <t>This line item within account #6990 is to record Administrative overhead expenses related to Supportive Services for this Project. Percentage to the right relates to the 2017 UMR limits §8314(f)(2) - shall not exceed 15% of total cost of the total Supportive Services Costs paid as operating expenses.</t>
        </r>
      </text>
    </comment>
    <comment ref="B62" authorId="1" shapeId="0" xr:uid="{00000000-0006-0000-0400-00003D000000}">
      <text>
        <r>
          <rPr>
            <sz val="10"/>
            <color indexed="81"/>
            <rFont val="Tahoma"/>
            <family val="2"/>
          </rPr>
          <t>This line item within Account #6990 is to record the cost of the actual Supportive Services delivered to the project's tenants
-</t>
        </r>
        <r>
          <rPr>
            <b/>
            <i/>
            <sz val="10"/>
            <color indexed="81"/>
            <rFont val="Tahoma"/>
            <family val="2"/>
          </rPr>
          <t>See UMR §8301 (t) and (u)</t>
        </r>
        <r>
          <rPr>
            <sz val="10"/>
            <color indexed="81"/>
            <rFont val="Tahoma"/>
            <family val="2"/>
          </rPr>
          <t xml:space="preserve">.
</t>
        </r>
        <r>
          <rPr>
            <sz val="10"/>
            <color indexed="81"/>
            <rFont val="Tahoma"/>
            <family val="2"/>
          </rPr>
          <t xml:space="preserve">For </t>
        </r>
        <r>
          <rPr>
            <b/>
            <sz val="10"/>
            <color indexed="81"/>
            <rFont val="Tahoma"/>
            <family val="2"/>
          </rPr>
          <t>SUHRP</t>
        </r>
        <r>
          <rPr>
            <sz val="10"/>
            <color indexed="81"/>
            <rFont val="Tahoma"/>
            <family val="2"/>
          </rPr>
          <t xml:space="preserve"> and </t>
        </r>
        <r>
          <rPr>
            <b/>
            <sz val="10"/>
            <color indexed="81"/>
            <rFont val="Tahoma"/>
            <family val="2"/>
          </rPr>
          <t>CHRP-R</t>
        </r>
        <r>
          <rPr>
            <sz val="10"/>
            <color indexed="81"/>
            <rFont val="Tahoma"/>
            <family val="2"/>
          </rPr>
          <t xml:space="preserve"> Programs. It is to record tenant care expenses for Group and Nursing Homes, Assisted Living facilities, and Board and Care facilities.
</t>
        </r>
      </text>
    </comment>
    <comment ref="B63" authorId="1" shapeId="0" xr:uid="{00000000-0006-0000-0400-00003E000000}">
      <text>
        <r>
          <rPr>
            <sz val="10"/>
            <color indexed="81"/>
            <rFont val="Tahoma"/>
            <family val="2"/>
          </rPr>
          <t>This account is a combined expense amount for the accounts (6900-6990).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grodine</author>
    <author>A satisfied Microsoft Office user</author>
    <author>Diane Moroni</author>
    <author>George Rodine</author>
  </authors>
  <commentList>
    <comment ref="I10" authorId="0" shapeId="0" xr:uid="{A6A71D02-CFF2-421E-A1F9-10D4FA57CE95}">
      <text>
        <r>
          <rPr>
            <sz val="9"/>
            <color indexed="81"/>
            <rFont val="Tahoma"/>
            <family val="2"/>
          </rPr>
          <t>If box is checked, proposed proration is used as the approved proration.</t>
        </r>
      </text>
    </comment>
    <comment ref="B12" authorId="1" shapeId="0" xr:uid="{00000000-0006-0000-0500-00000E000000}">
      <text>
        <r>
          <rPr>
            <sz val="10"/>
            <color indexed="81"/>
            <rFont val="Tahoma"/>
            <family val="2"/>
          </rPr>
          <t>Expenses related to attendance/participation in professional conventions and meetings.</t>
        </r>
      </text>
    </comment>
    <comment ref="B13" authorId="1" shapeId="0" xr:uid="{00000000-0006-0000-0500-00000F000000}">
      <text>
        <r>
          <rPr>
            <sz val="10"/>
            <color indexed="81"/>
            <rFont val="Tahoma"/>
            <family val="2"/>
          </rPr>
          <t>Expenses incurred as a result of utilizing management consultants for administrative related activities, i.e. programming.</t>
        </r>
      </text>
    </comment>
    <comment ref="B14" authorId="1" shapeId="0" xr:uid="{00000000-0006-0000-0500-000010000000}">
      <text>
        <r>
          <rPr>
            <sz val="10"/>
            <color indexed="81"/>
            <rFont val="Tahoma"/>
            <family val="2"/>
          </rPr>
          <t>This account reflects the cost of advertising and marketing the rental property, both during initial rent-up and after the project reaches normal occupancy levels.</t>
        </r>
      </text>
    </comment>
    <comment ref="B15" authorId="1" shapeId="0" xr:uid="{00000000-0006-0000-0500-000011000000}">
      <text>
        <r>
          <rPr>
            <sz val="10"/>
            <color indexed="81"/>
            <rFont val="Tahoma"/>
            <family val="2"/>
          </rPr>
          <t>This account reflects miscellaneous expenses related to the rent-up of vacant units. Examples are commissions and similar fees charged by third parties for referring new tenants to the project and amounts paid to existing tenants to attract new tenants. Note: Allowances given to tenants in lieu of rent are concessions (refer to account 5250).</t>
        </r>
      </text>
    </comment>
    <comment ref="B16" authorId="1" shapeId="0" xr:uid="{00000000-0006-0000-0500-000012000000}">
      <text>
        <r>
          <rPr>
            <sz val="10"/>
            <color indexed="81"/>
            <rFont val="Tahoma"/>
            <family val="2"/>
          </rPr>
          <t>This account is for personnel not associated with provision of Supportive Services. For those salaries, enter the amounts in lines 43, 44 and 45, as appropriate, below
This account reflects salaries for office employees (other than the resident manager) responsible for the front-line operation of the project regardless of whether the employee works on site or in the agent's office. Typical front-line responsibilities include taking applications; screening, certifying, and recertifying tenants; maintaining the project; and accounting for project income and expenses. The account should not include salaries paid to occupancy, maintenance and regional supervisors who carry out the agent's duties for supervising project operations and personnel (these salaries are to be paid from the approved management fee). This account also does not include the project's share of payroll taxes (account 6711) or other employee benefits (account 6723) incurred by the project.</t>
        </r>
      </text>
    </comment>
    <comment ref="B17" authorId="1" shapeId="0" xr:uid="{00000000-0006-0000-0500-000013000000}">
      <text>
        <r>
          <rPr>
            <sz val="10"/>
            <color indexed="81"/>
            <rFont val="Tahoma"/>
            <family val="2"/>
          </rPr>
          <t xml:space="preserve">This account is for expenses not related to the provision of Supportive Services. For office expenses related to Supportive Services, enter that amount under Supportive Services Administrative Overhead on line 46 below
This account reflects office and related expense items; examples include office supplies, postage, stationery, copying, Internet charges, telephone and answering services. </t>
        </r>
      </text>
    </comment>
    <comment ref="B18" authorId="1" shapeId="0" xr:uid="{00000000-0006-0000-0500-000014000000}">
      <text>
        <r>
          <rPr>
            <sz val="10"/>
            <color indexed="81"/>
            <rFont val="Tahoma"/>
            <family val="2"/>
          </rPr>
          <t>This account reflects the rental value of an apartment, otherwise considered potentially rent-producing, but used as the project office or as a model apartment.</t>
        </r>
      </text>
    </comment>
    <comment ref="B19" authorId="0" shapeId="0" xr:uid="{00000000-0006-0000-0500-000015000000}">
      <text>
        <r>
          <rPr>
            <sz val="10"/>
            <color indexed="81"/>
            <rFont val="Tahoma"/>
            <family val="2"/>
          </rPr>
          <t>This account reflects the cost of management agent service contracted for by the project (It does not include the GP Management Fee or the Asset Management Fee). This account does not include charges for bookkeeping or accounting services performed by either the management agent or another party. The amount reported in this account is sometimes a pure percentage of allowable revenue collected.</t>
        </r>
      </text>
    </comment>
    <comment ref="B20" authorId="1" shapeId="0" xr:uid="{00000000-0006-0000-0500-000016000000}">
      <text>
        <r>
          <rPr>
            <sz val="10"/>
            <color indexed="81"/>
            <rFont val="Tahoma"/>
            <family val="2"/>
          </rPr>
          <t>This account reflects salaries paid to a resident manager or superintendent. It does not include the project's share of payroll taxes or other employee benefits or compensation given a resident manager or superintendent in lieu of salary payments.</t>
        </r>
      </text>
    </comment>
    <comment ref="B21" authorId="1" shapeId="0" xr:uid="{00000000-0006-0000-0500-000017000000}">
      <text>
        <r>
          <rPr>
            <sz val="10"/>
            <color indexed="81"/>
            <rFont val="Tahoma"/>
            <family val="2"/>
          </rPr>
          <t>This account reflects the contract rent of any rent free unit provided to administrative personnel (including a resident manager or superintendent) which would otherwise be considered revenue producing. Partial rent reductions given should be reflected in this account as well. This account is not to be used for rent free units provided or rent reductions given to either maintenance or security personnel (see accounts 6521 and 6531).</t>
        </r>
      </text>
    </comment>
    <comment ref="B22" authorId="1" shapeId="0" xr:uid="{00000000-0006-0000-0500-000018000000}">
      <text>
        <r>
          <rPr>
            <sz val="10"/>
            <color indexed="81"/>
            <rFont val="Tahoma"/>
            <family val="2"/>
          </rPr>
          <t xml:space="preserve">This account reflects legal fees or services incurred on behalf of the project. For example, fees incurred for eviction procedures should be reflected in this account. In contrast, legal fees or services related to the mortgagor entity should be reflected in account 7120. </t>
        </r>
      </text>
    </comment>
    <comment ref="B23" authorId="1" shapeId="0" xr:uid="{00000000-0006-0000-0500-000019000000}">
      <text>
        <r>
          <rPr>
            <sz val="10"/>
            <color indexed="81"/>
            <rFont val="Tahoma"/>
            <family val="2"/>
          </rPr>
          <t>This account reflects the auditing expense incurred by the project that is directly related to HCD's requirement for audited financial statements. Amounts incurred for the cost of routine maintenance or review of the project's books and records should not be included in this account (see account 6351).</t>
        </r>
      </text>
    </comment>
    <comment ref="B24" authorId="1" shapeId="0" xr:uid="{00000000-0006-0000-0500-00001A000000}">
      <text>
        <r>
          <rPr>
            <sz val="10"/>
            <color indexed="81"/>
            <rFont val="Tahoma"/>
            <family val="2"/>
          </rPr>
          <t>This account reflects the cost of bookkeeping fees or accounting or computing services not included in the management fee but paid to either the management agent or another party.</t>
        </r>
      </text>
    </comment>
    <comment ref="B25" authorId="1" shapeId="0" xr:uid="{00000000-0006-0000-0500-00001B000000}">
      <text>
        <r>
          <rPr>
            <sz val="10"/>
            <color indexed="81"/>
            <rFont val="Tahoma"/>
            <family val="2"/>
          </rPr>
          <t>This account reflects the amount of tenant bad debts for the period under audit.</t>
        </r>
      </text>
    </comment>
    <comment ref="B26" authorId="1" shapeId="0" xr:uid="{00000000-0006-0000-0500-00001C000000}">
      <text>
        <r>
          <rPr>
            <sz val="10"/>
            <color indexed="81"/>
            <rFont val="Tahoma"/>
            <family val="2"/>
          </rPr>
          <t xml:space="preserve">This Account records administrative expenses not otherwise classified in the 6300 series. Itemized expense detail must be entered below. </t>
        </r>
      </text>
    </comment>
    <comment ref="B27" authorId="0" shapeId="0" xr:uid="{00000000-0006-0000-0500-00001D000000}">
      <text>
        <r>
          <rPr>
            <sz val="10"/>
            <color indexed="81"/>
            <rFont val="Tahoma"/>
            <family val="2"/>
          </rPr>
          <t>This account must equal the sum of accounts 6203 through 6390.</t>
        </r>
        <r>
          <rPr>
            <sz val="9"/>
            <color indexed="81"/>
            <rFont val="Tahoma"/>
            <family val="2"/>
          </rPr>
          <t xml:space="preserve">
</t>
        </r>
      </text>
    </comment>
    <comment ref="B29" authorId="1" shapeId="0" xr:uid="{00000000-0006-0000-0500-00001E000000}">
      <text>
        <r>
          <rPr>
            <sz val="10"/>
            <color indexed="81"/>
            <rFont val="Tahoma"/>
            <family val="2"/>
          </rPr>
          <t>This account reflects the cost of electricity charges billed to the project.</t>
        </r>
      </text>
    </comment>
    <comment ref="B30" authorId="1" shapeId="0" xr:uid="{00000000-0006-0000-0500-00001F000000}">
      <text>
        <r>
          <rPr>
            <sz val="10"/>
            <color indexed="81"/>
            <rFont val="Tahoma"/>
            <family val="2"/>
          </rPr>
          <t>This account reflects the cost of water charges billed to the project.</t>
        </r>
      </text>
    </comment>
    <comment ref="B31" authorId="1" shapeId="0" xr:uid="{00000000-0006-0000-0500-000020000000}">
      <text>
        <r>
          <rPr>
            <sz val="10"/>
            <color indexed="81"/>
            <rFont val="Tahoma"/>
            <family val="2"/>
          </rPr>
          <t>This account reflects the cost of gas charges billed to the project.</t>
        </r>
      </text>
    </comment>
    <comment ref="B32" authorId="1" shapeId="0" xr:uid="{00000000-0006-0000-0500-000021000000}">
      <text>
        <r>
          <rPr>
            <sz val="10"/>
            <color indexed="81"/>
            <rFont val="Tahoma"/>
            <family val="2"/>
          </rPr>
          <t>This account reflects the cost of sewer charges billed to the project.</t>
        </r>
      </text>
    </comment>
    <comment ref="B33" authorId="0" shapeId="0" xr:uid="{00000000-0006-0000-0500-000022000000}">
      <text>
        <r>
          <rPr>
            <sz val="10"/>
            <color indexed="81"/>
            <rFont val="Tahoma"/>
            <family val="2"/>
          </rPr>
          <t>This account must equal the sum of accounts 6450 through 6453.</t>
        </r>
        <r>
          <rPr>
            <sz val="9"/>
            <color indexed="81"/>
            <rFont val="Tahoma"/>
            <family val="2"/>
          </rPr>
          <t xml:space="preserve">
</t>
        </r>
      </text>
    </comment>
    <comment ref="B35" authorId="1" shapeId="0" xr:uid="{00000000-0006-0000-0500-000023000000}">
      <text>
        <r>
          <rPr>
            <sz val="10"/>
            <color indexed="81"/>
            <rFont val="Tahoma"/>
            <family val="2"/>
          </rPr>
          <t>This account reflects the salaries of project employees who perform services including but not limited to janitorial/cleaning, exterminating, grounds, repairs, and decorating. This account does not include the project's share of payroll taxes (FICA and Unemployment) or other employee benefits paid by the project. Supporting detail is not  required for this account unless requested by HCD.</t>
        </r>
      </text>
    </comment>
    <comment ref="B36" authorId="1" shapeId="0" xr:uid="{00000000-0006-0000-0500-000024000000}">
      <text>
        <r>
          <rPr>
            <sz val="10"/>
            <color indexed="81"/>
            <rFont val="Tahoma"/>
            <family val="2"/>
          </rPr>
          <t xml:space="preserve">This account reflects all costs of supplies charged to the project for janitorial/cleaning, exterminating, grounds, repairs, and decorating. </t>
        </r>
      </text>
    </comment>
    <comment ref="B37" authorId="2" shapeId="0" xr:uid="{00000000-0006-0000-0500-000025000000}">
      <text>
        <r>
          <rPr>
            <sz val="10"/>
            <color indexed="81"/>
            <rFont val="Tahoma"/>
            <family val="2"/>
          </rPr>
          <t>This account reflects the cost of contracts the owner or agent executes with third parties on behalf of the project for janitorial/cleaning, exterminating, grounds, repairs, elevator maintenance, swimming pool maintenance, and decorating.</t>
        </r>
      </text>
    </comment>
    <comment ref="B38" authorId="1" shapeId="0" xr:uid="{00000000-0006-0000-0500-000026000000}">
      <text>
        <r>
          <rPr>
            <sz val="10"/>
            <color indexed="81"/>
            <rFont val="Tahoma"/>
            <family val="2"/>
          </rPr>
          <t xml:space="preserve">This account reflects the contract rent of any rent free unit provided to operating and maintenance personnel which would otherwise be considered revenue producing. Partial rent reductions given should be reflected in this account as well. </t>
        </r>
      </text>
    </comment>
    <comment ref="B39" authorId="1" shapeId="0" xr:uid="{00000000-0006-0000-0500-000027000000}">
      <text>
        <r>
          <rPr>
            <sz val="10"/>
            <color indexed="81"/>
            <rFont val="Tahoma"/>
            <family val="2"/>
          </rPr>
          <t>This account reflects the cost of removing garbage and rubbish from the project. The account does not include salaries paid to janitors who collect the trash.</t>
        </r>
      </text>
    </comment>
    <comment ref="B40" authorId="1" shapeId="0" xr:uid="{00000000-0006-0000-0500-000028000000}">
      <text>
        <r>
          <rPr>
            <sz val="10"/>
            <color indexed="81"/>
            <rFont val="Tahoma"/>
            <family val="2"/>
          </rPr>
          <t xml:space="preserve">This account reflects the project's payroll cost attributable to the protection of the project or the cost of a protection contract that the owner or agent executes on behalf of the project. </t>
        </r>
      </text>
    </comment>
    <comment ref="B41" authorId="2" shapeId="0" xr:uid="{00000000-0006-0000-0500-000029000000}">
      <text>
        <r>
          <rPr>
            <sz val="10"/>
            <color indexed="81"/>
            <rFont val="Tahoma"/>
            <family val="2"/>
          </rPr>
          <t>This account reflects the contract rent of any rent free unit provided to security personnel or a unit used for the purpose of security of the project (for example, police substations). Partial rent reductions given should be reflected in this account as well.</t>
        </r>
      </text>
    </comment>
    <comment ref="B42" authorId="1" shapeId="0" xr:uid="{00000000-0006-0000-0500-00002A000000}">
      <text>
        <r>
          <rPr>
            <sz val="10"/>
            <color indexed="81"/>
            <rFont val="Tahoma"/>
            <family val="2"/>
          </rPr>
          <t>This account reflects the cost of repairing and maintaining heating or air conditioning equipment owned by the project.</t>
        </r>
      </text>
    </comment>
    <comment ref="B43" authorId="1" shapeId="0" xr:uid="{00000000-0006-0000-0500-00002B000000}">
      <text>
        <r>
          <rPr>
            <sz val="10"/>
            <color indexed="81"/>
            <rFont val="Tahoma"/>
            <family val="2"/>
          </rPr>
          <t>This account reflects the cost of removing snow from project sidewalks and parking areas.</t>
        </r>
      </text>
    </comment>
    <comment ref="B44" authorId="1" shapeId="0" xr:uid="{00000000-0006-0000-0500-00002C000000}">
      <text>
        <r>
          <rPr>
            <sz val="10"/>
            <color indexed="81"/>
            <rFont val="Tahoma"/>
            <family val="2"/>
          </rPr>
          <t>This account reflects the cost of operating and repairing project motor vehicles and maintenance equipment. Motor vehicle insurance is not included in this account but is charged to account 6720, Property and Liability Insurance (Hazard).</t>
        </r>
      </text>
    </comment>
    <comment ref="B45" authorId="1" shapeId="0" xr:uid="{00000000-0006-0000-0500-00002D000000}">
      <text>
        <r>
          <rPr>
            <sz val="10"/>
            <color indexed="81"/>
            <rFont val="Tahoma"/>
            <family val="2"/>
          </rPr>
          <t>This account should be used to record
the lease expense associated with the
lease of project operators to a second
party operator, or to record expenses
associated with leasing equipment or
facilities.</t>
        </r>
      </text>
    </comment>
    <comment ref="B46" authorId="1" shapeId="0" xr:uid="{00000000-0006-0000-0500-00002E000000}">
      <text>
        <r>
          <rPr>
            <sz val="10"/>
            <color indexed="81"/>
            <rFont val="Tahoma"/>
            <family val="2"/>
          </rPr>
          <t xml:space="preserve">This account reflects the cost of maintenance and repairs not otherwise classified in the 6500 account Series. Itemized expense detail must be entered below.
</t>
        </r>
        <r>
          <rPr>
            <b/>
            <sz val="10"/>
            <color indexed="81"/>
            <rFont val="Tahoma"/>
            <family val="2"/>
          </rPr>
          <t>Do not include costs that will be paid for by a Reserve withdrawal and capitalized on the Financial Statements.</t>
        </r>
      </text>
    </comment>
    <comment ref="B47" authorId="0" shapeId="0" xr:uid="{00000000-0006-0000-0500-00002F000000}">
      <text>
        <r>
          <rPr>
            <sz val="10"/>
            <color indexed="81"/>
            <rFont val="Tahoma"/>
            <family val="2"/>
          </rPr>
          <t>This account must equal the sum of accounts 6510 through 6590.</t>
        </r>
        <r>
          <rPr>
            <sz val="9"/>
            <color indexed="81"/>
            <rFont val="Tahoma"/>
            <family val="2"/>
          </rPr>
          <t xml:space="preserve">
</t>
        </r>
      </text>
    </comment>
    <comment ref="B49" authorId="1" shapeId="0" xr:uid="{00000000-0006-0000-0500-000030000000}">
      <text>
        <r>
          <rPr>
            <sz val="10"/>
            <color indexed="81"/>
            <rFont val="Tahoma"/>
            <family val="2"/>
          </rPr>
          <t xml:space="preserve">This account reflects payments made for real estate taxes of the project. This may represent a payment in lieu of taxes (only in certain jurisdictions), which is generally charged as a percentage of income. </t>
        </r>
      </text>
    </comment>
    <comment ref="B50" authorId="1" shapeId="0" xr:uid="{00000000-0006-0000-0500-000031000000}">
      <text>
        <r>
          <rPr>
            <sz val="10"/>
            <color indexed="81"/>
            <rFont val="Tahoma"/>
            <family val="2"/>
          </rPr>
          <t>This account reflects the project's share of FICA and State and Federal Unemployment taxes.</t>
        </r>
      </text>
    </comment>
    <comment ref="B51" authorId="1" shapeId="0" xr:uid="{00000000-0006-0000-0500-000032000000}">
      <text>
        <r>
          <rPr>
            <sz val="10"/>
            <color indexed="81"/>
            <rFont val="Tahoma"/>
            <family val="2"/>
          </rPr>
          <t>This account reflects the cost of project property and liability insurance.</t>
        </r>
      </text>
    </comment>
    <comment ref="B52" authorId="1" shapeId="0" xr:uid="{00000000-0006-0000-0500-000033000000}">
      <text>
        <r>
          <rPr>
            <sz val="10"/>
            <color indexed="81"/>
            <rFont val="Tahoma"/>
            <family val="2"/>
          </rPr>
          <t>This account reflects the cost of bonding project employees who handle funds.</t>
        </r>
      </text>
    </comment>
    <comment ref="B53" authorId="1" shapeId="0" xr:uid="{00000000-0006-0000-0500-000034000000}">
      <text>
        <r>
          <rPr>
            <sz val="10"/>
            <color indexed="81"/>
            <rFont val="Tahoma"/>
            <family val="2"/>
          </rPr>
          <t>This account reflects the cost of workmen's compensation insurance for project employees.</t>
        </r>
      </text>
    </comment>
    <comment ref="B54" authorId="1" shapeId="0" xr:uid="{00000000-0006-0000-0500-000035000000}">
      <text>
        <r>
          <rPr>
            <sz val="10"/>
            <color indexed="81"/>
            <rFont val="Tahoma"/>
            <family val="2"/>
          </rPr>
          <t>This account reflects the cost of any health insurance and other employee benefits charged to the project.</t>
        </r>
      </text>
    </comment>
    <comment ref="B55" authorId="2" shapeId="0" xr:uid="{00000000-0006-0000-0500-000036000000}">
      <text>
        <r>
          <rPr>
            <sz val="10"/>
            <color indexed="81"/>
            <rFont val="Tahoma"/>
            <family val="2"/>
          </rPr>
          <t>This account reflects any taxes, licenses, permit fees, or cost of insurance assessed to the project and not otherwise categorized in the 6700 Series. If Budgeted Miscellaneous Taxes, Licenses, Permits and Insurance is $1,000 or higher, provide expenditure detail (type and amounts) on Worksheet 4 Explanation of Budget.</t>
        </r>
      </text>
    </comment>
    <comment ref="B56" authorId="0" shapeId="0" xr:uid="{00000000-0006-0000-0500-000037000000}">
      <text>
        <r>
          <rPr>
            <sz val="10"/>
            <color indexed="81"/>
            <rFont val="Tahoma"/>
            <family val="2"/>
          </rPr>
          <t>This account must equal the sum of accounts 6710 through 6790.</t>
        </r>
        <r>
          <rPr>
            <sz val="9"/>
            <color indexed="81"/>
            <rFont val="Tahoma"/>
            <family val="2"/>
          </rPr>
          <t xml:space="preserve">
</t>
        </r>
      </text>
    </comment>
    <comment ref="B57" authorId="3" shapeId="0" xr:uid="{00000000-0006-0000-0500-000038000000}">
      <text>
        <r>
          <rPr>
            <b/>
            <sz val="9"/>
            <color indexed="81"/>
            <rFont val="Tahoma"/>
            <family val="2"/>
          </rPr>
          <t>Renamed for HCD use - HUD Account Title is "Nursing Homes/Assisted Living/ Board &amp; Care/Other Elderly Care Expenses"</t>
        </r>
        <r>
          <rPr>
            <sz val="9"/>
            <color indexed="81"/>
            <rFont val="Tahoma"/>
            <family val="2"/>
          </rPr>
          <t xml:space="preserve">
</t>
        </r>
      </text>
    </comment>
    <comment ref="B58" authorId="1" shapeId="0" xr:uid="{00000000-0006-0000-0500-000039000000}">
      <text>
        <r>
          <rPr>
            <sz val="10"/>
            <color indexed="81"/>
            <rFont val="Tahoma"/>
            <family val="2"/>
          </rPr>
          <t>This line item within account #6990 is to record salary cost of the Staff Supervisor related to Supportive Services for this Project.</t>
        </r>
      </text>
    </comment>
    <comment ref="B59" authorId="1" shapeId="0" xr:uid="{00000000-0006-0000-0500-00003A000000}">
      <text>
        <r>
          <rPr>
            <sz val="10"/>
            <color indexed="81"/>
            <rFont val="Tahoma"/>
            <family val="2"/>
          </rPr>
          <t>This line item within account #6990 is to record the salary and benefits expenses related to Supportive Services Coordinator.</t>
        </r>
      </text>
    </comment>
    <comment ref="B60" authorId="1" shapeId="0" xr:uid="{00000000-0006-0000-0500-00003B000000}">
      <text>
        <r>
          <rPr>
            <sz val="10"/>
            <color indexed="81"/>
            <rFont val="Tahoma"/>
            <family val="2"/>
          </rPr>
          <t>This line item within account #6990 is to record Staff salary cost (not Supervisory or Service Coordination) related to Supportive Services for this Project.</t>
        </r>
      </text>
    </comment>
    <comment ref="B61" authorId="1" shapeId="0" xr:uid="{00000000-0006-0000-0500-00003C000000}">
      <text>
        <r>
          <rPr>
            <sz val="10"/>
            <color indexed="81"/>
            <rFont val="Tahoma"/>
            <family val="2"/>
          </rPr>
          <t>This line item within account #6990 is to record Administrative overhead expenses related to Supportive Services for this Project.</t>
        </r>
      </text>
    </comment>
    <comment ref="B62" authorId="1" shapeId="0" xr:uid="{00000000-0006-0000-0500-00003D000000}">
      <text>
        <r>
          <rPr>
            <sz val="10"/>
            <color indexed="81"/>
            <rFont val="Tahoma"/>
            <family val="2"/>
          </rPr>
          <t>This line item within Account #6990 is to record the cost of the actual Supportive Services delivered to the project's tenants
-</t>
        </r>
        <r>
          <rPr>
            <b/>
            <i/>
            <sz val="10"/>
            <color indexed="81"/>
            <rFont val="Tahoma"/>
            <family val="2"/>
          </rPr>
          <t>See UMR §8301 (t) and (u)</t>
        </r>
        <r>
          <rPr>
            <sz val="10"/>
            <color indexed="81"/>
            <rFont val="Tahoma"/>
            <family val="2"/>
          </rPr>
          <t xml:space="preserve">.
</t>
        </r>
        <r>
          <rPr>
            <sz val="10"/>
            <color indexed="81"/>
            <rFont val="Tahoma"/>
            <family val="2"/>
          </rPr>
          <t xml:space="preserve">
For </t>
        </r>
        <r>
          <rPr>
            <b/>
            <sz val="10"/>
            <color indexed="81"/>
            <rFont val="Tahoma"/>
            <family val="2"/>
          </rPr>
          <t>SUHRP</t>
        </r>
        <r>
          <rPr>
            <sz val="10"/>
            <color indexed="81"/>
            <rFont val="Tahoma"/>
            <family val="2"/>
          </rPr>
          <t xml:space="preserve"> and </t>
        </r>
        <r>
          <rPr>
            <b/>
            <sz val="10"/>
            <color indexed="81"/>
            <rFont val="Tahoma"/>
            <family val="2"/>
          </rPr>
          <t>CHRP-R</t>
        </r>
        <r>
          <rPr>
            <sz val="10"/>
            <color indexed="81"/>
            <rFont val="Tahoma"/>
            <family val="2"/>
          </rPr>
          <t xml:space="preserve"> Programs. It is to record tenant care expenses for Group and Nursing Homes, Assisted Living facilities, and Board and Care facilities.
</t>
        </r>
      </text>
    </comment>
    <comment ref="B63" authorId="1" shapeId="0" xr:uid="{00000000-0006-0000-0500-00003E000000}">
      <text>
        <r>
          <rPr>
            <sz val="10"/>
            <color indexed="81"/>
            <rFont val="Tahoma"/>
            <family val="2"/>
          </rPr>
          <t>This account is a combined expense amount for the accounts (6900-6990).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grodine</author>
    <author>A satisfied Microsoft Office user</author>
    <author>Lynne MacIntosh</author>
    <author>George Rodine</author>
  </authors>
  <commentList>
    <comment ref="F9" authorId="0" shapeId="0" xr:uid="{00000000-0006-0000-0800-00000F000000}">
      <text>
        <r>
          <rPr>
            <sz val="9"/>
            <color indexed="81"/>
            <rFont val="Tahoma"/>
            <family val="2"/>
          </rPr>
          <t>If box is checked, Proposed Cash Flow will be used as Approved Cash Flow.  Cell is unprotected and may be overwritten.</t>
        </r>
      </text>
    </comment>
    <comment ref="H9" authorId="0" shapeId="0" xr:uid="{00000000-0006-0000-0800-000010000000}">
      <text>
        <r>
          <rPr>
            <sz val="9"/>
            <color indexed="81"/>
            <rFont val="Tahoma"/>
            <family val="2"/>
          </rPr>
          <t>If box is checked, Proposed Cash Flow will be used as Approved Cash Flow.  Cell is unprotected and may be overwritten.</t>
        </r>
      </text>
    </comment>
    <comment ref="J9" authorId="0" shapeId="0" xr:uid="{00000000-0006-0000-0800-000011000000}">
      <text>
        <r>
          <rPr>
            <sz val="9"/>
            <color indexed="81"/>
            <rFont val="Tahoma"/>
            <family val="2"/>
          </rPr>
          <t>If box is checked, Proposed Cash Flow will be used as Approved Cash Flow.  Cell is unprotected and may be overwritten.</t>
        </r>
      </text>
    </comment>
    <comment ref="M9" authorId="0" shapeId="0" xr:uid="{00000000-0006-0000-0800-000012000000}">
      <text>
        <r>
          <rPr>
            <sz val="9"/>
            <color indexed="81"/>
            <rFont val="Tahoma"/>
            <family val="2"/>
          </rPr>
          <t>If box is checked, Proposed Cash Flow will be used as Approved Cash Flow.  Cell is unprotected and may be overwritten.</t>
        </r>
      </text>
    </comment>
    <comment ref="B11" authorId="1" shapeId="0" xr:uid="{00000000-0006-0000-0800-000013000000}">
      <text>
        <r>
          <rPr>
            <sz val="10"/>
            <color indexed="81"/>
            <rFont val="Tahoma"/>
            <family val="2"/>
          </rPr>
          <t>This account records the rent/carrying charges approved at 100% occupancy, less tenant/ shareholder assistance payments, for all residential units (including non- revenue producing units that are expensed).</t>
        </r>
      </text>
    </comment>
    <comment ref="I11" authorId="0" shapeId="0" xr:uid="{00000000-0006-0000-0800-000014000000}">
      <text>
        <r>
          <rPr>
            <sz val="9"/>
            <color indexed="81"/>
            <rFont val="Tahoma"/>
            <family val="2"/>
          </rPr>
          <t xml:space="preserve">The Actual Rent Revenue - Gross Potential amount is not applicable to this Commercial category.
</t>
        </r>
      </text>
    </comment>
    <comment ref="J11" authorId="0" shapeId="0" xr:uid="{00000000-0006-0000-0800-000015000000}">
      <text>
        <r>
          <rPr>
            <sz val="9"/>
            <color indexed="81"/>
            <rFont val="Tahoma"/>
            <family val="2"/>
          </rPr>
          <t xml:space="preserve">The Actual Rent Revenue - Gross Potential amount is not applicable to this Commercial category.
</t>
        </r>
      </text>
    </comment>
    <comment ref="B12" authorId="1" shapeId="0" xr:uid="{00000000-0006-0000-0800-000016000000}">
      <text>
        <r>
          <rPr>
            <sz val="10"/>
            <color indexed="81"/>
            <rFont val="Tahoma"/>
            <family val="2"/>
          </rPr>
          <t>This account records tenant assistance payments that are project- based. Tenant assistance payment programs include the Rent Supplement, Rental Assistance Payment (RAP), and Section 8 programs.</t>
        </r>
      </text>
    </comment>
    <comment ref="I12" authorId="0" shapeId="0" xr:uid="{00000000-0006-0000-0800-000017000000}">
      <text>
        <r>
          <rPr>
            <sz val="9"/>
            <color indexed="81"/>
            <rFont val="Tahoma"/>
            <family val="2"/>
          </rPr>
          <t xml:space="preserve">The Actual Tenant Assistance Payment amount is not applicable to this Commercial category.
</t>
        </r>
      </text>
    </comment>
    <comment ref="J12" authorId="0" shapeId="0" xr:uid="{00000000-0006-0000-0800-000018000000}">
      <text>
        <r>
          <rPr>
            <sz val="9"/>
            <color indexed="81"/>
            <rFont val="Tahoma"/>
            <family val="2"/>
          </rPr>
          <t xml:space="preserve">The Actual Tenant Assistance Payment amount is not applicable to this Commercial category.
</t>
        </r>
      </text>
    </comment>
    <comment ref="B13" authorId="1" shapeId="0" xr:uid="{00000000-0006-0000-0800-000019000000}">
      <text>
        <r>
          <rPr>
            <sz val="10"/>
            <color indexed="81"/>
            <rFont val="Tahoma"/>
            <family val="2"/>
          </rPr>
          <t>This account records gross rental revenue expectancy from stores, offices, or other commercial facilities or uses.</t>
        </r>
      </text>
    </comment>
    <comment ref="E13" authorId="0" shapeId="0" xr:uid="{00000000-0006-0000-0800-00001A000000}">
      <text>
        <r>
          <rPr>
            <sz val="9"/>
            <color indexed="81"/>
            <rFont val="Tahoma"/>
            <family val="2"/>
          </rPr>
          <t xml:space="preserve">The Actuals Rent Revenue - Stores and Commercial amount is not applicable to this Assisted Units category.
</t>
        </r>
      </text>
    </comment>
    <comment ref="F13" authorId="0" shapeId="0" xr:uid="{00000000-0006-0000-0800-00001B000000}">
      <text>
        <r>
          <rPr>
            <sz val="9"/>
            <color indexed="81"/>
            <rFont val="Tahoma"/>
            <family val="2"/>
          </rPr>
          <t xml:space="preserve">The Actuals Rent Revenue - Stores and Commercial amount is not applicable to this Assisted Units category.
</t>
        </r>
      </text>
    </comment>
    <comment ref="G13" authorId="0" shapeId="0" xr:uid="{00000000-0006-0000-0800-00001C000000}">
      <text>
        <r>
          <rPr>
            <sz val="9"/>
            <color indexed="81"/>
            <rFont val="Tahoma"/>
            <family val="2"/>
          </rPr>
          <t xml:space="preserve">The Actuals Rent Revenue - Stores and Commercial amount is not applicable to this Non-Assisted Units category.
</t>
        </r>
      </text>
    </comment>
    <comment ref="H13" authorId="0" shapeId="0" xr:uid="{00000000-0006-0000-0800-00001D000000}">
      <text>
        <r>
          <rPr>
            <sz val="9"/>
            <color indexed="81"/>
            <rFont val="Tahoma"/>
            <family val="2"/>
          </rPr>
          <t xml:space="preserve">The Actuals Rent Revenue - Stores and Commercial amount is not applicable to this Assisted Units category.
</t>
        </r>
      </text>
    </comment>
    <comment ref="B14" authorId="1" shapeId="0" xr:uid="{00000000-0006-0000-0800-00001E000000}">
      <text>
        <r>
          <rPr>
            <sz val="10"/>
            <color indexed="81"/>
            <rFont val="Tahoma"/>
            <family val="2"/>
          </rPr>
          <t>This account records the gross potential rental revenue from all garage and parking spaces.</t>
        </r>
      </text>
    </comment>
    <comment ref="B15" authorId="1" shapeId="0" xr:uid="{00000000-0006-0000-0800-00001F000000}">
      <text>
        <r>
          <rPr>
            <sz val="10"/>
            <color indexed="81"/>
            <rFont val="Tahoma"/>
            <family val="2"/>
          </rPr>
          <t>This account reflects the amount of funds transferred from the Management Improvement and Operating Plan account to reduce mortgage or escrow deficiencies, to cover operating deficits or to meet working capital needs.</t>
        </r>
      </text>
    </comment>
    <comment ref="B16" authorId="1" shapeId="0" xr:uid="{00000000-0006-0000-0800-000020000000}">
      <text>
        <r>
          <rPr>
            <sz val="10"/>
            <color indexed="81"/>
            <rFont val="Tahoma"/>
            <family val="2"/>
          </rPr>
          <t>This account records gross rental revenue expectancy not otherwise described above.</t>
        </r>
      </text>
    </comment>
    <comment ref="E16" authorId="0" shapeId="0" xr:uid="{00000000-0006-0000-0800-000021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16" authorId="0" shapeId="0" xr:uid="{00000000-0006-0000-0800-000022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G16" authorId="0" shapeId="0" xr:uid="{00000000-0006-0000-0800-000023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B17" authorId="0" shapeId="0" xr:uid="{00000000-0006-0000-0800-000024000000}">
      <text>
        <r>
          <rPr>
            <sz val="10"/>
            <color indexed="81"/>
            <rFont val="Tahoma"/>
            <family val="2"/>
          </rPr>
          <t>This account must equal the sum of accounts 5120 through 5194.</t>
        </r>
      </text>
    </comment>
    <comment ref="B19" authorId="0" shapeId="0" xr:uid="{00000000-0006-0000-0800-000025000000}">
      <text>
        <r>
          <rPr>
            <sz val="10"/>
            <color indexed="81"/>
            <rFont val="Tahoma"/>
            <family val="2"/>
          </rPr>
          <t>This account reflects the rental revenue lost through vacancy of an apartment unit.</t>
        </r>
      </text>
    </comment>
    <comment ref="E19" authorId="0" shapeId="0" xr:uid="{00000000-0006-0000-0800-000026000000}">
      <text>
        <r>
          <rPr>
            <sz val="9"/>
            <color indexed="81"/>
            <rFont val="Tahoma"/>
            <family val="2"/>
          </rPr>
          <t xml:space="preserve">Vacancy % will be calculated by dividing Line 13, Apartments Vacancy amount by Line 1 Rent Revenue - Gross Revenue Potential. 
</t>
        </r>
      </text>
    </comment>
    <comment ref="F19" authorId="0" shapeId="0" xr:uid="{00000000-0006-0000-0800-000027000000}">
      <text>
        <r>
          <rPr>
            <sz val="9"/>
            <color indexed="81"/>
            <rFont val="Tahoma"/>
            <family val="2"/>
          </rPr>
          <t xml:space="preserve">Vacancy % will be calculated by dividing Line 13, Apartments Vacancy amount by Line 1 Rent Revenue - Gross Revenue Potential. 
</t>
        </r>
      </text>
    </comment>
    <comment ref="G19" authorId="0" shapeId="0" xr:uid="{00000000-0006-0000-0800-000028000000}">
      <text>
        <r>
          <rPr>
            <sz val="9"/>
            <color indexed="81"/>
            <rFont val="Tahoma"/>
            <family val="2"/>
          </rPr>
          <t xml:space="preserve">Vacancy % will be calculated by dividing Line 13, Apartments Vacancy amount by Line 1 Rent Revenue - Gross Revenue Potential. 
</t>
        </r>
      </text>
    </comment>
    <comment ref="H19" authorId="0" shapeId="0" xr:uid="{00000000-0006-0000-0800-000029000000}">
      <text>
        <r>
          <rPr>
            <sz val="9"/>
            <color indexed="81"/>
            <rFont val="Tahoma"/>
            <family val="2"/>
          </rPr>
          <t xml:space="preserve">Vacancy % will be calculated by dividing Line 13, Apartments Vacancy amount by Line 1 Rent Revenue - Gross Revenue Potential. 
</t>
        </r>
      </text>
    </comment>
    <comment ref="I19" authorId="0" shapeId="0" xr:uid="{00000000-0006-0000-0800-00002A000000}">
      <text>
        <r>
          <rPr>
            <sz val="9"/>
            <color indexed="81"/>
            <rFont val="Tahoma"/>
            <family val="2"/>
          </rPr>
          <t xml:space="preserve">Vacancy % will be calculated by dividing Line 15, Stores and Commercial Vacancy amount by Line 3 Rent Revenue - Stores and Commercial. 
</t>
        </r>
      </text>
    </comment>
    <comment ref="J19" authorId="0" shapeId="0" xr:uid="{00000000-0006-0000-0800-00002B000000}">
      <text>
        <r>
          <rPr>
            <sz val="9"/>
            <color indexed="81"/>
            <rFont val="Tahoma"/>
            <family val="2"/>
          </rPr>
          <t xml:space="preserve">Vacancy % will be calculated by dividing Line 15, Stores and Commercial Vacancy amount by Line 3 Rent Revenue - Stores and Commercial. 
</t>
        </r>
      </text>
    </comment>
    <comment ref="B20" authorId="0" shapeId="0" xr:uid="{00000000-0006-0000-0800-00002C000000}">
      <text>
        <r>
          <rPr>
            <sz val="10"/>
            <color indexed="81"/>
            <rFont val="Tahoma"/>
            <family val="2"/>
          </rPr>
          <t>This account reflects the rental revenue lost through vacancy of an apartment unit.</t>
        </r>
      </text>
    </comment>
    <comment ref="I20" authorId="0" shapeId="0" xr:uid="{00000000-0006-0000-0800-00002D000000}">
      <text>
        <r>
          <rPr>
            <sz val="9"/>
            <color indexed="81"/>
            <rFont val="Tahoma"/>
            <family val="2"/>
          </rPr>
          <t xml:space="preserve">The Actuals Apartments Vacancy amount is not applicable to this Commercial category.
</t>
        </r>
      </text>
    </comment>
    <comment ref="J20" authorId="0" shapeId="0" xr:uid="{00000000-0006-0000-0800-00002E000000}">
      <text>
        <r>
          <rPr>
            <sz val="9"/>
            <color indexed="81"/>
            <rFont val="Tahoma"/>
            <family val="2"/>
          </rPr>
          <t xml:space="preserve">The Actuals Apartments Vacancy amount is not applicable to this Commercial category.
</t>
        </r>
      </text>
    </comment>
    <comment ref="B21" authorId="1" shapeId="0" xr:uid="{00000000-0006-0000-0800-00002F000000}">
      <text>
        <r>
          <rPr>
            <sz val="10"/>
            <color indexed="81"/>
            <rFont val="Tahoma"/>
            <family val="2"/>
          </rPr>
          <t>This account reflects the rental revenue lost through vacancy of a store or other commercial units.</t>
        </r>
      </text>
    </comment>
    <comment ref="E21" authorId="0" shapeId="0" xr:uid="{00000000-0006-0000-0800-000030000000}">
      <text>
        <r>
          <rPr>
            <sz val="9"/>
            <color indexed="81"/>
            <rFont val="Tahoma"/>
            <family val="2"/>
          </rPr>
          <t xml:space="preserve">The Actuals Stores and Commercial Vacancy amount is not applicable to this Assisted Units category.
</t>
        </r>
      </text>
    </comment>
    <comment ref="F21" authorId="0" shapeId="0" xr:uid="{00000000-0006-0000-0800-000031000000}">
      <text>
        <r>
          <rPr>
            <sz val="9"/>
            <color indexed="81"/>
            <rFont val="Tahoma"/>
            <family val="2"/>
          </rPr>
          <t xml:space="preserve">The Actuals Stores and Commercial Vacancy amount is not applicable to this Assisted Units category.
</t>
        </r>
      </text>
    </comment>
    <comment ref="G21" authorId="0" shapeId="0" xr:uid="{00000000-0006-0000-0800-000032000000}">
      <text>
        <r>
          <rPr>
            <sz val="9"/>
            <color indexed="81"/>
            <rFont val="Tahoma"/>
            <family val="2"/>
          </rPr>
          <t xml:space="preserve">The Actuals Stores and Commercial Vacancy amount is not applicable to this Non-Assisted Units category.
</t>
        </r>
      </text>
    </comment>
    <comment ref="H21" authorId="0" shapeId="0" xr:uid="{00000000-0006-0000-0800-000033000000}">
      <text>
        <r>
          <rPr>
            <sz val="9"/>
            <color indexed="81"/>
            <rFont val="Tahoma"/>
            <family val="2"/>
          </rPr>
          <t xml:space="preserve">The Actuals Stores and Commercial Vacancy amount is not applicable to this Assisted Units category.
</t>
        </r>
      </text>
    </comment>
    <comment ref="B22" authorId="1" shapeId="0" xr:uid="{00000000-0006-0000-0800-000034000000}">
      <text>
        <r>
          <rPr>
            <sz val="10"/>
            <color indexed="81"/>
            <rFont val="Tahoma"/>
            <family val="2"/>
          </rPr>
          <t>This account reflects the amount provided as rental concessions (i.e., free rent) in connection with the execution of leases of revenue producing units.</t>
        </r>
      </text>
    </comment>
    <comment ref="B23" authorId="1" shapeId="0" xr:uid="{00000000-0006-0000-0800-000035000000}">
      <text>
        <r>
          <rPr>
            <sz val="10"/>
            <color indexed="81"/>
            <rFont val="Tahoma"/>
            <family val="2"/>
          </rPr>
          <t>This account reflects the rental revenue lost through vacancy of a garage or parking spaces.</t>
        </r>
      </text>
    </comment>
    <comment ref="B24" authorId="1" shapeId="0" xr:uid="{00000000-0006-0000-0800-000036000000}">
      <text>
        <r>
          <rPr>
            <sz val="10"/>
            <color indexed="81"/>
            <rFont val="Tahoma"/>
            <family val="2"/>
          </rPr>
          <t>This account reflects the rental revenue lost through vacancy of any revenue-producing space or equipment not otherwise described above.</t>
        </r>
      </text>
    </comment>
    <comment ref="B25" authorId="0" shapeId="0" xr:uid="{00000000-0006-0000-0800-000037000000}">
      <text>
        <r>
          <rPr>
            <sz val="10"/>
            <color indexed="81"/>
            <rFont val="Tahoma"/>
            <family val="2"/>
          </rPr>
          <t>This account must equal the sum of accounts 5220 through 5290.</t>
        </r>
      </text>
    </comment>
    <comment ref="B26" authorId="0" shapeId="0" xr:uid="{00000000-0006-0000-0800-000038000000}">
      <text>
        <r>
          <rPr>
            <sz val="10"/>
            <color indexed="81"/>
            <rFont val="Tahoma"/>
            <family val="2"/>
          </rPr>
          <t>This account must equal the sum of account 5100T less account 5200T.</t>
        </r>
      </text>
    </comment>
    <comment ref="B27" authorId="1" shapeId="0" xr:uid="{00000000-0006-0000-0800-000039000000}">
      <text>
        <r>
          <rPr>
            <b/>
            <sz val="10"/>
            <color indexed="81"/>
            <rFont val="Tahoma"/>
            <family val="2"/>
          </rPr>
          <t xml:space="preserve">This account is primarily applicable to the SUHRP and CHRP-R Programs and projects regulated by the 2017 UMRs.
</t>
        </r>
        <r>
          <rPr>
            <sz val="10"/>
            <color indexed="81"/>
            <rFont val="Tahoma"/>
            <family val="2"/>
          </rPr>
          <t xml:space="preserve">This account is used to record tenant care revenues for Group and Nursing Homes, Assisted Living facilities, Board &amp; Care facilities, service revenue for project housing elderly or disabled, and to record revenues associated with service coordinators and special purpose grants (drug elimination, congregate housing, etc.). </t>
        </r>
      </text>
    </comment>
    <comment ref="E27" authorId="0" shapeId="0" xr:uid="{00000000-0006-0000-0800-00003A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27" authorId="0" shapeId="0" xr:uid="{00000000-0006-0000-0800-00003B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27" authorId="0" shapeId="0" xr:uid="{00000000-0006-0000-0800-00003C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27" authorId="0" shapeId="0" xr:uid="{00000000-0006-0000-0800-00003D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29" authorId="1" shapeId="0" xr:uid="{00000000-0006-0000-0800-00003E000000}">
      <text>
        <r>
          <rPr>
            <sz val="10"/>
            <color indexed="81"/>
            <rFont val="Tahoma"/>
            <family val="2"/>
          </rPr>
          <t xml:space="preserve">This account is used to record interest and other investment income earned in connection with project operations. </t>
        </r>
        <r>
          <rPr>
            <u/>
            <sz val="10"/>
            <color indexed="81"/>
            <rFont val="Tahoma"/>
            <family val="2"/>
          </rPr>
          <t>DO NOT INCLUDE RESERVE ACCOUNTS INTEREST INCOME.</t>
        </r>
      </text>
    </comment>
    <comment ref="E29" authorId="0" shapeId="0" xr:uid="{00000000-0006-0000-0800-00003F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29" authorId="0" shapeId="0" xr:uid="{00000000-0006-0000-0800-000040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29" authorId="0" shapeId="0" xr:uid="{00000000-0006-0000-0800-000041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29" authorId="0" shapeId="0" xr:uid="{00000000-0006-0000-0800-000042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30" authorId="1" shapeId="0" xr:uid="{00000000-0006-0000-0800-000043000000}">
      <text>
        <r>
          <rPr>
            <sz val="10"/>
            <color indexed="81"/>
            <rFont val="Tahoma"/>
            <family val="2"/>
          </rPr>
          <t xml:space="preserve">This account is used to record interest and other investment income earned in connection with project operations. </t>
        </r>
        <r>
          <rPr>
            <u/>
            <sz val="10"/>
            <color indexed="81"/>
            <rFont val="Tahoma"/>
            <family val="2"/>
          </rPr>
          <t>DO NOT INCLUDE RESERVE ACCOUNTS INTEREST INCOME.</t>
        </r>
      </text>
    </comment>
    <comment ref="E30" authorId="0" shapeId="0" xr:uid="{00000000-0006-0000-0800-000044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30" authorId="0" shapeId="0" xr:uid="{00000000-0006-0000-0800-000045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30" authorId="0" shapeId="0" xr:uid="{00000000-0006-0000-0800-000046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30" authorId="0" shapeId="0" xr:uid="{00000000-0006-0000-0800-000047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31" authorId="1" shapeId="0" xr:uid="{00000000-0006-0000-0800-000048000000}">
      <text>
        <r>
          <rPr>
            <sz val="10"/>
            <color indexed="81"/>
            <rFont val="Tahoma"/>
            <family val="2"/>
          </rPr>
          <t xml:space="preserve">This account is used to record interest and other investment income earned in connection with project operations. </t>
        </r>
        <r>
          <rPr>
            <u/>
            <sz val="10"/>
            <color indexed="81"/>
            <rFont val="Tahoma"/>
            <family val="2"/>
          </rPr>
          <t>DO NOT INCLUDE RESERVE ACCOUNTS INTEREST INCOME.</t>
        </r>
      </text>
    </comment>
    <comment ref="B33" authorId="1" shapeId="0" xr:uid="{00000000-0006-0000-0800-000049000000}">
      <text>
        <r>
          <rPr>
            <sz val="10"/>
            <color indexed="81"/>
            <rFont val="Tahoma"/>
            <family val="2"/>
          </rPr>
          <t>This account records project revenues received from laundry and vending machines owned or leased by the project.</t>
        </r>
      </text>
    </comment>
    <comment ref="E33" authorId="0" shapeId="0" xr:uid="{00000000-0006-0000-0800-00004A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33" authorId="0" shapeId="0" xr:uid="{00000000-0006-0000-0800-00004B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33" authorId="0" shapeId="0" xr:uid="{00000000-0006-0000-0800-00004C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33" authorId="0" shapeId="0" xr:uid="{00000000-0006-0000-0800-00004D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34" authorId="1" shapeId="0" xr:uid="{00000000-0006-0000-0800-00004E000000}">
      <text>
        <r>
          <rPr>
            <sz val="10"/>
            <color indexed="81"/>
            <rFont val="Tahoma"/>
            <family val="2"/>
          </rPr>
          <t>This account reflects charges assessed to tenants for rent checks returned for insufficient funds, late payment of rents, breaking the lease, and all other extraneous fees that have to do with lease/tenant. This account also includes damage payments received from HUD and forfeited security deposits.</t>
        </r>
      </text>
    </comment>
    <comment ref="E34" authorId="0" shapeId="0" xr:uid="{00000000-0006-0000-0800-00004F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34" authorId="0" shapeId="0" xr:uid="{00000000-0006-0000-0800-000050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34" authorId="0" shapeId="0" xr:uid="{00000000-0006-0000-0800-000051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34" authorId="0" shapeId="0" xr:uid="{00000000-0006-0000-0800-000052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35" authorId="1" shapeId="0" xr:uid="{00000000-0006-0000-0800-000053000000}">
      <text>
        <r>
          <rPr>
            <sz val="10"/>
            <color indexed="81"/>
            <rFont val="Tahoma"/>
            <family val="2"/>
          </rPr>
          <t>This account reflects project revenues not otherwise described in the above revenue accounts; it may also include revenue from non-commercial rental space.</t>
        </r>
      </text>
    </comment>
    <comment ref="E35" authorId="0" shapeId="0" xr:uid="{00000000-0006-0000-0800-000054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35" authorId="0" shapeId="0" xr:uid="{00000000-0006-0000-0800-000055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35" authorId="0" shapeId="0" xr:uid="{00000000-0006-0000-0800-000056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35" authorId="0" shapeId="0" xr:uid="{00000000-0006-0000-0800-000057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36" authorId="0" shapeId="0" xr:uid="{00000000-0006-0000-0800-000058000000}">
      <text>
        <r>
          <rPr>
            <sz val="10"/>
            <color indexed="81"/>
            <rFont val="Tahoma"/>
            <family val="2"/>
          </rPr>
          <t>This account must equal the sum of accounts 5910 through 5990.</t>
        </r>
        <r>
          <rPr>
            <sz val="9"/>
            <color indexed="81"/>
            <rFont val="Tahoma"/>
            <family val="2"/>
          </rPr>
          <t xml:space="preserve">
</t>
        </r>
      </text>
    </comment>
    <comment ref="B37" authorId="0" shapeId="0" xr:uid="{00000000-0006-0000-0800-000059000000}">
      <text>
        <r>
          <rPr>
            <sz val="10"/>
            <color indexed="81"/>
            <rFont val="Tahoma"/>
            <family val="2"/>
          </rPr>
          <t>This account must equal the sum of accounts 5910 through 5990.</t>
        </r>
        <r>
          <rPr>
            <sz val="9"/>
            <color indexed="81"/>
            <rFont val="Tahoma"/>
            <family val="2"/>
          </rPr>
          <t xml:space="preserve">
</t>
        </r>
      </text>
    </comment>
    <comment ref="B40" authorId="1" shapeId="0" xr:uid="{00000000-0006-0000-0800-00005A000000}">
      <text>
        <r>
          <rPr>
            <sz val="10"/>
            <color indexed="81"/>
            <rFont val="Tahoma"/>
            <family val="2"/>
          </rPr>
          <t>Required cash payments for interest on, and retirement of the principal amount of, a debt.</t>
        </r>
      </text>
    </comment>
    <comment ref="B41" authorId="0" shapeId="0" xr:uid="{00000000-0006-0000-0800-00005B000000}">
      <text>
        <r>
          <rPr>
            <sz val="9"/>
            <color indexed="81"/>
            <rFont val="Tahoma"/>
            <family val="2"/>
          </rPr>
          <t>Do not include Fees including Bond, Issuer, Trustee.
Specify Lender name at right.</t>
        </r>
      </text>
    </comment>
    <comment ref="E41" authorId="0" shapeId="0" xr:uid="{00000000-0006-0000-0800-00005C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41" authorId="0" shapeId="0" xr:uid="{00000000-0006-0000-0800-00005D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41" authorId="0" shapeId="0" xr:uid="{00000000-0006-0000-0800-00005E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41" authorId="0" shapeId="0" xr:uid="{00000000-0006-0000-0800-00005F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42" authorId="0" shapeId="0" xr:uid="{00000000-0006-0000-0800-000060000000}">
      <text>
        <r>
          <rPr>
            <sz val="9"/>
            <color indexed="81"/>
            <rFont val="Tahoma"/>
            <family val="2"/>
          </rPr>
          <t>Do not include Fees including Bond, Issuer, Trustee.
Specify Lender name at right.</t>
        </r>
      </text>
    </comment>
    <comment ref="E42" authorId="0" shapeId="0" xr:uid="{00000000-0006-0000-0800-000061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42" authorId="0" shapeId="0" xr:uid="{00000000-0006-0000-0800-000062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42" authorId="0" shapeId="0" xr:uid="{00000000-0006-0000-0800-000063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42" authorId="0" shapeId="0" xr:uid="{00000000-0006-0000-0800-000064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43" authorId="0" shapeId="0" xr:uid="{00000000-0006-0000-0800-000065000000}">
      <text>
        <r>
          <rPr>
            <sz val="9"/>
            <color indexed="81"/>
            <rFont val="Tahoma"/>
            <family val="2"/>
          </rPr>
          <t>Do not include Fees including Bond, Issuer, Trustee.
Specify Lender name at right.</t>
        </r>
      </text>
    </comment>
    <comment ref="E43" authorId="0" shapeId="0" xr:uid="{00000000-0006-0000-0800-000066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43" authorId="0" shapeId="0" xr:uid="{00000000-0006-0000-0800-000067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43" authorId="0" shapeId="0" xr:uid="{00000000-0006-0000-0800-000068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43" authorId="0" shapeId="0" xr:uid="{00000000-0006-0000-0800-000069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44" authorId="1" shapeId="0" xr:uid="{5FA30870-F897-4BDE-93CA-75773D12FAE1}">
      <text>
        <r>
          <rPr>
            <sz val="10"/>
            <color indexed="81"/>
            <rFont val="Tahoma"/>
            <family val="2"/>
          </rPr>
          <t>Monthly or annual loan and/or interest payments required by the note and deed of trust for certain HCD loans OR 0.42% annual interest payment required for MHP loans AND/OR CalHFA Servicing/Monitoring Fee.</t>
        </r>
      </text>
    </comment>
    <comment ref="E44" authorId="0" shapeId="0" xr:uid="{00000000-0006-0000-0800-00006B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44" authorId="0" shapeId="0" xr:uid="{00000000-0006-0000-0800-00006C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44" authorId="0" shapeId="0" xr:uid="{00000000-0006-0000-0800-00006D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44" authorId="0" shapeId="0" xr:uid="{00000000-0006-0000-0800-00006E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45" authorId="1" shapeId="0" xr:uid="{00000000-0006-0000-0800-00006F000000}">
      <text>
        <r>
          <rPr>
            <sz val="10"/>
            <color indexed="81"/>
            <rFont val="Tahoma"/>
            <family val="2"/>
          </rPr>
          <t>Payments of monthly or annual rent required by a lease.</t>
        </r>
        <r>
          <rPr>
            <sz val="8"/>
            <color indexed="81"/>
            <rFont val="Tahoma"/>
            <family val="2"/>
          </rPr>
          <t xml:space="preserve">
</t>
        </r>
      </text>
    </comment>
    <comment ref="E45" authorId="0" shapeId="0" xr:uid="{00000000-0006-0000-0800-000070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45" authorId="0" shapeId="0" xr:uid="{00000000-0006-0000-0800-000071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45" authorId="0" shapeId="0" xr:uid="{00000000-0006-0000-0800-000072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45" authorId="0" shapeId="0" xr:uid="{00000000-0006-0000-0800-000073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46" authorId="0" shapeId="0" xr:uid="{00000000-0006-0000-0800-000074000000}">
      <text>
        <r>
          <rPr>
            <sz val="9"/>
            <color indexed="81"/>
            <rFont val="Tahoma"/>
            <family val="2"/>
          </rPr>
          <t>This account reflects financial expenses not otherwise classified in the 6800 series. This account also includes fees paid to a bond trustee or other annual loan fees.</t>
        </r>
      </text>
    </comment>
    <comment ref="E46" authorId="0" shapeId="0" xr:uid="{00000000-0006-0000-0800-000075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46" authorId="0" shapeId="0" xr:uid="{00000000-0006-0000-0800-000076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46" authorId="0" shapeId="0" xr:uid="{00000000-0006-0000-0800-000077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46" authorId="0" shapeId="0" xr:uid="{00000000-0006-0000-0800-000078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47" authorId="0" shapeId="0" xr:uid="{00000000-0006-0000-0800-000079000000}">
      <text>
        <r>
          <rPr>
            <sz val="10"/>
            <color indexed="81"/>
            <rFont val="Tahoma"/>
            <family val="2"/>
          </rPr>
          <t>This account must equal the sum of accounts 5910 through 5990.</t>
        </r>
        <r>
          <rPr>
            <sz val="9"/>
            <color indexed="81"/>
            <rFont val="Tahoma"/>
            <family val="2"/>
          </rPr>
          <t xml:space="preserve">
</t>
        </r>
      </text>
    </comment>
    <comment ref="B49" authorId="1" shapeId="0" xr:uid="{00000000-0006-0000-0800-00007A000000}">
      <text>
        <r>
          <rPr>
            <sz val="10"/>
            <color indexed="81"/>
            <rFont val="Tahoma"/>
            <family val="2"/>
          </rPr>
          <t>Includes 1321.  Cash and investments held by mortgagee or mortgagor (as required) for replacements as set forth in the Regulatory Agreement.  This account may include amounts that are reported in separately established painting reserve accounts.</t>
        </r>
      </text>
    </comment>
    <comment ref="E49" authorId="0" shapeId="0" xr:uid="{00000000-0006-0000-0800-00007B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49" authorId="0" shapeId="0" xr:uid="{00000000-0006-0000-0800-00007C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49" authorId="0" shapeId="0" xr:uid="{00000000-0006-0000-0800-00007D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49" authorId="0" shapeId="0" xr:uid="{00000000-0006-0000-0800-00007E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50" authorId="1" shapeId="0" xr:uid="{00000000-0006-0000-0800-00007F000000}">
      <text>
        <r>
          <rPr>
            <sz val="10"/>
            <color indexed="81"/>
            <rFont val="Tahoma"/>
            <family val="2"/>
          </rPr>
          <t>This account is used to maintain a fund for general operation expenses.</t>
        </r>
      </text>
    </comment>
    <comment ref="E50" authorId="0" shapeId="0" xr:uid="{00000000-0006-0000-0800-000080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50" authorId="0" shapeId="0" xr:uid="{00000000-0006-0000-0800-000081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50" authorId="0" shapeId="0" xr:uid="{00000000-0006-0000-0800-000082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50" authorId="0" shapeId="0" xr:uid="{00000000-0006-0000-0800-000083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51" authorId="1" shapeId="0" xr:uid="{00000000-0006-0000-0800-000084000000}">
      <text>
        <r>
          <rPr>
            <sz val="10"/>
            <color indexed="81"/>
            <rFont val="Tahoma"/>
            <family val="2"/>
          </rPr>
          <t xml:space="preserve">Any other cash and investments held by the mortgagee for mortgagor for which lender approval is required for withdrawals. </t>
        </r>
      </text>
    </comment>
    <comment ref="E51" authorId="0" shapeId="0" xr:uid="{00000000-0006-0000-0800-000085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51" authorId="0" shapeId="0" xr:uid="{00000000-0006-0000-0800-000086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51" authorId="0" shapeId="0" xr:uid="{00000000-0006-0000-0800-000087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51" authorId="0" shapeId="0" xr:uid="{00000000-0006-0000-0800-000088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E52" authorId="0" shapeId="0" xr:uid="{00000000-0006-0000-0800-000089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52" authorId="0" shapeId="0" xr:uid="{00000000-0006-0000-0800-00008A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52" authorId="0" shapeId="0" xr:uid="{00000000-0006-0000-0800-00008B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52" authorId="0" shapeId="0" xr:uid="{00000000-0006-0000-0800-00008C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E53" authorId="0" shapeId="0" xr:uid="{00000000-0006-0000-0800-00008D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53" authorId="0" shapeId="0" xr:uid="{00000000-0006-0000-0800-00008E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53" authorId="0" shapeId="0" xr:uid="{00000000-0006-0000-0800-00008F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53" authorId="0" shapeId="0" xr:uid="{00000000-0006-0000-0800-000090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54" authorId="0" shapeId="0" xr:uid="{00000000-0006-0000-0800-000091000000}">
      <text>
        <r>
          <rPr>
            <sz val="9"/>
            <color indexed="81"/>
            <rFont val="Tahoma"/>
            <family val="2"/>
          </rPr>
          <t xml:space="preserve">Sum of all reserve accounts deposits.
</t>
        </r>
      </text>
    </comment>
    <comment ref="B57" authorId="2" shapeId="0" xr:uid="{00000000-0006-0000-0800-000092000000}">
      <text>
        <r>
          <rPr>
            <sz val="10"/>
            <color indexed="81"/>
            <rFont val="Tahoma"/>
            <family val="2"/>
          </rPr>
          <t>Amount of financial contribution from Borrower necessary to pay for operating costs that exceeded expected revenue.</t>
        </r>
      </text>
    </comment>
    <comment ref="E57" authorId="0" shapeId="0" xr:uid="{00000000-0006-0000-0800-000093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57" authorId="0" shapeId="0" xr:uid="{00000000-0006-0000-0800-000094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57" authorId="0" shapeId="0" xr:uid="{00000000-0006-0000-0800-000095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57" authorId="0" shapeId="0" xr:uid="{00000000-0006-0000-0800-000096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E58" authorId="0" shapeId="0" xr:uid="{00000000-0006-0000-0800-000097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58" authorId="0" shapeId="0" xr:uid="{00000000-0006-0000-0800-000098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58" authorId="0" shapeId="0" xr:uid="{00000000-0006-0000-0800-000099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58" authorId="0" shapeId="0" xr:uid="{00000000-0006-0000-0800-00009A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E59" authorId="0" shapeId="0" xr:uid="{00000000-0006-0000-0800-00009B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59" authorId="0" shapeId="0" xr:uid="{00000000-0006-0000-0800-00009C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59" authorId="0" shapeId="0" xr:uid="{00000000-0006-0000-0800-00009D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59" authorId="0" shapeId="0" xr:uid="{00000000-0006-0000-0800-00009E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E60" authorId="0" shapeId="0" xr:uid="{00000000-0006-0000-0800-00009F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60" authorId="0" shapeId="0" xr:uid="{00000000-0006-0000-0800-0000A0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60" authorId="0" shapeId="0" xr:uid="{00000000-0006-0000-0800-0000A1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60" authorId="0" shapeId="0" xr:uid="{00000000-0006-0000-0800-0000A2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62" authorId="3" shapeId="0" xr:uid="{00000000-0006-0000-0800-0000A3000000}">
      <text>
        <r>
          <rPr>
            <b/>
            <sz val="9"/>
            <color indexed="81"/>
            <rFont val="Tahoma"/>
            <family val="2"/>
          </rPr>
          <t>These Use of Cash Flow items are subject to final HCD approval during the review/approval of the Annual Report.</t>
        </r>
        <r>
          <rPr>
            <sz val="9"/>
            <color indexed="81"/>
            <rFont val="Tahoma"/>
            <family val="2"/>
          </rPr>
          <t xml:space="preserve">
</t>
        </r>
      </text>
    </comment>
    <comment ref="E63" authorId="0" shapeId="0" xr:uid="{00000000-0006-0000-0800-0000A4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63" authorId="0" shapeId="0" xr:uid="{00000000-0006-0000-0800-0000A5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63" authorId="0" shapeId="0" xr:uid="{00000000-0006-0000-0800-0000A6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63" authorId="0" shapeId="0" xr:uid="{00000000-0006-0000-0800-0000A7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64" authorId="2" shapeId="0" xr:uid="{00000000-0006-0000-0800-0000AD000000}">
      <text>
        <r>
          <rPr>
            <sz val="10"/>
            <color indexed="81"/>
            <rFont val="Tahoma"/>
            <family val="2"/>
          </rPr>
          <t>Payment to Sponsor for asset management and partnership fees/costs per the Regulatory Agreement. Only applies to MHP and HOME Projects funded under the 09/29/03 MHP/Uniform Multifamily Regulations (UMR) or later.</t>
        </r>
      </text>
    </comment>
    <comment ref="E64" authorId="0" shapeId="0" xr:uid="{00000000-0006-0000-0800-0000AE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64" authorId="0" shapeId="0" xr:uid="{00000000-0006-0000-0800-0000AF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64" authorId="0" shapeId="0" xr:uid="{00000000-0006-0000-0800-0000B0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64" authorId="0" shapeId="0" xr:uid="{00000000-0006-0000-0800-0000B1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65" authorId="1" shapeId="0" xr:uid="{00000000-0006-0000-0800-0000B2000000}">
      <text>
        <r>
          <rPr>
            <sz val="10"/>
            <color indexed="81"/>
            <rFont val="Tahoma"/>
            <family val="2"/>
          </rPr>
          <t>Cash or other benefits derived from the operation of a rental housing development and  distributed (typically annually, upon HCD approval of audit) to the borrower and to other parties having beneficial interests in the development, after payment of all due and outstanding obligations incurred in connection with the development, as set forth in the Regulatory Agreement.</t>
        </r>
      </text>
    </comment>
    <comment ref="E65" authorId="0" shapeId="0" xr:uid="{00000000-0006-0000-0800-0000B3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65" authorId="0" shapeId="0" xr:uid="{00000000-0006-0000-0800-0000B4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65" authorId="0" shapeId="0" xr:uid="{00000000-0006-0000-0800-0000B5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65" authorId="0" shapeId="0" xr:uid="{00000000-0006-0000-0800-0000B6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66" authorId="1" shapeId="0" xr:uid="{00000000-0006-0000-0800-0000B7000000}">
      <text>
        <r>
          <rPr>
            <sz val="10"/>
            <color indexed="81"/>
            <rFont val="Tahoma"/>
            <family val="2"/>
          </rPr>
          <t>Proposed cash payments on residual receipts debt.</t>
        </r>
      </text>
    </comment>
    <comment ref="E66" authorId="0" shapeId="0" xr:uid="{00000000-0006-0000-0800-0000B8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66" authorId="0" shapeId="0" xr:uid="{00000000-0006-0000-0800-0000B9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66" authorId="0" shapeId="0" xr:uid="{00000000-0006-0000-0800-0000BA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66" authorId="0" shapeId="0" xr:uid="{00000000-0006-0000-0800-0000BB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B67" authorId="1" shapeId="0" xr:uid="{00000000-0006-0000-0800-0000BC000000}">
      <text>
        <r>
          <rPr>
            <sz val="10"/>
            <color indexed="81"/>
            <rFont val="Tahoma"/>
            <family val="2"/>
          </rPr>
          <t>Required payments of interest only on an HCD term loan, which typically requires the principal to be repaid in a lump sum balloon payment at maturity.</t>
        </r>
      </text>
    </comment>
    <comment ref="E67" authorId="0" shapeId="0" xr:uid="{00000000-0006-0000-0800-0000BD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67" authorId="0" shapeId="0" xr:uid="{00000000-0006-0000-0800-0000BE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67" authorId="0" shapeId="0" xr:uid="{00000000-0006-0000-0800-0000BF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67" authorId="0" shapeId="0" xr:uid="{00000000-0006-0000-0800-0000C0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E68" authorId="0" shapeId="0" xr:uid="{00000000-0006-0000-0800-0000C1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F68" authorId="0" shapeId="0" xr:uid="{00000000-0006-0000-0800-0000C2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 ref="G68" authorId="0" shapeId="0" xr:uid="{00000000-0006-0000-0800-0000C3000000}">
      <text>
        <r>
          <rPr>
            <b/>
            <sz val="9"/>
            <color indexed="81"/>
            <rFont val="Tahoma"/>
            <family val="2"/>
          </rPr>
          <t xml:space="preserve">This cell will autopopulate based on proration percentage.  Enter applicable amounts in columns E (Sponsor Actuals - Commercial) and H (Sponsor Actuals - Project Totals).  </t>
        </r>
      </text>
    </comment>
    <comment ref="H68" authorId="0" shapeId="0" xr:uid="{00000000-0006-0000-0800-0000C4000000}">
      <text>
        <r>
          <rPr>
            <b/>
            <sz val="9"/>
            <color indexed="81"/>
            <rFont val="Tahoma"/>
            <family val="2"/>
          </rPr>
          <t xml:space="preserve">This cell will autopopulate based on proration percentage.  Enter applicable amounts in columns F (HCD Apprvd Actuals - Commercial) and I (HCD Apprvd Actuals - Project Totals).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grodine</author>
    <author>Diane Moroni</author>
    <author>George Rodine</author>
  </authors>
  <commentList>
    <comment ref="B12" authorId="0" shapeId="0" xr:uid="{00000000-0006-0000-0700-00000A000000}">
      <text>
        <r>
          <rPr>
            <sz val="10"/>
            <color indexed="81"/>
            <rFont val="Tahoma"/>
            <family val="2"/>
          </rPr>
          <t>Expenses related to attendance/participation in professional conventions and meetings.</t>
        </r>
      </text>
    </comment>
    <comment ref="B13" authorId="0" shapeId="0" xr:uid="{00000000-0006-0000-0700-00000B000000}">
      <text>
        <r>
          <rPr>
            <sz val="10"/>
            <color indexed="81"/>
            <rFont val="Tahoma"/>
            <family val="2"/>
          </rPr>
          <t>Expenses incurred as a result of utilizing management consultants for administrative related activities, i.e. programming.</t>
        </r>
      </text>
    </comment>
    <comment ref="B14" authorId="0" shapeId="0" xr:uid="{00000000-0006-0000-0700-00000C000000}">
      <text>
        <r>
          <rPr>
            <sz val="10"/>
            <color indexed="81"/>
            <rFont val="Tahoma"/>
            <family val="2"/>
          </rPr>
          <t>This account reflects the cost of advertising and marketing the rental property, both during initial rent-up and after the project reaches normal occupancy levels.</t>
        </r>
      </text>
    </comment>
    <comment ref="B15" authorId="0" shapeId="0" xr:uid="{00000000-0006-0000-0700-00000D000000}">
      <text>
        <r>
          <rPr>
            <sz val="10"/>
            <color indexed="81"/>
            <rFont val="Tahoma"/>
            <family val="2"/>
          </rPr>
          <t>This account reflects miscellaneous expenses related to the rent-up of vacant units. Examples are commissions and similar fees charged by third parties for referring new tenants to the project and amounts paid to existing tenants to attract new tenants. Note: Allowances given to tenants in lieu of rent are concessions (refer to account 5250).</t>
        </r>
      </text>
    </comment>
    <comment ref="B16" authorId="0" shapeId="0" xr:uid="{00000000-0006-0000-0700-00000E000000}">
      <text>
        <r>
          <rPr>
            <sz val="10"/>
            <color indexed="81"/>
            <rFont val="Tahoma"/>
            <family val="2"/>
          </rPr>
          <t>This account is for personnel not associated with provision of Supportive Services. For those salaries, enter the amounts in lines 43, 44 and 45, as appropriate, below
This account reflects salaries for office employees (other than the resident manager) responsible for the front-line operation of the project regardless of whether the employee works on site or in the agent's office. Typical front-line responsibilities include taking applications; screening, certifying, and recertifying tenants; maintaining the project; and accounting for project income and expenses. The account should not include salaries paid to occupancy, maintenance and regional supervisors who carry out the agent's duties for supervising project operations and personnel (these salaries are to be paid from the approved management fee). This account also does not include the project's share of payroll taxes (account 6711) or other employee benefits (account 6723) incurred by the project.</t>
        </r>
      </text>
    </comment>
    <comment ref="B17" authorId="0" shapeId="0" xr:uid="{00000000-0006-0000-0700-00000F000000}">
      <text>
        <r>
          <rPr>
            <sz val="10"/>
            <color indexed="81"/>
            <rFont val="Tahoma"/>
            <family val="2"/>
          </rPr>
          <t xml:space="preserve">This account is for expenses not related to the provision of Supportive Services. For office expenses related to Supportive Services, enter that amount under Supportive Services Administrative Overhead on line 46 below
This account reflects office and related expense items; examples include office supplies, postage, stationery, copying, Internet charges, telephone and answering services. </t>
        </r>
      </text>
    </comment>
    <comment ref="B18" authorId="0" shapeId="0" xr:uid="{00000000-0006-0000-0700-000010000000}">
      <text>
        <r>
          <rPr>
            <sz val="10"/>
            <color indexed="81"/>
            <rFont val="Tahoma"/>
            <family val="2"/>
          </rPr>
          <t>This account reflects the rental value of an apartment, otherwise considered potentially rent-producing, but used as the project office or as a model apartment.</t>
        </r>
      </text>
    </comment>
    <comment ref="B19" authorId="1" shapeId="0" xr:uid="{00000000-0006-0000-0700-000011000000}">
      <text>
        <r>
          <rPr>
            <sz val="10"/>
            <color indexed="81"/>
            <rFont val="Tahoma"/>
            <family val="2"/>
          </rPr>
          <t>This account reflects the cost of management agent service contracted for by the project (It does not include the GP Management Fee or the Asset Management Fee). This account does not include charges for bookkeeping or accounting services performed by either the management agent or another party. The amount reported in this account is sometimes a pure percentage of allowable revenue collected.</t>
        </r>
      </text>
    </comment>
    <comment ref="B20" authorId="0" shapeId="0" xr:uid="{00000000-0006-0000-0700-000012000000}">
      <text>
        <r>
          <rPr>
            <sz val="10"/>
            <color indexed="81"/>
            <rFont val="Tahoma"/>
            <family val="2"/>
          </rPr>
          <t>This account reflects salaries paid to a resident manager or superintendent. It does not include the project's share of payroll taxes or other employee benefits or compensation given a resident manager or superintendent in lieu of salary payments.</t>
        </r>
      </text>
    </comment>
    <comment ref="B21" authorId="0" shapeId="0" xr:uid="{00000000-0006-0000-0700-000013000000}">
      <text>
        <r>
          <rPr>
            <sz val="10"/>
            <color indexed="81"/>
            <rFont val="Tahoma"/>
            <family val="2"/>
          </rPr>
          <t>This account reflects the contract rent of any rent free unit provided to administrative personnel (including a resident manager or superintendent) which would otherwise be considered revenue producing. Partial rent reductions given should be reflected in this account as well. This account is not to be used for rent free units provided or rent reductions given to either maintenance or security personnel (see accounts 6521 and 6531).</t>
        </r>
      </text>
    </comment>
    <comment ref="B22" authorId="0" shapeId="0" xr:uid="{00000000-0006-0000-0700-000014000000}">
      <text>
        <r>
          <rPr>
            <sz val="10"/>
            <color indexed="81"/>
            <rFont val="Tahoma"/>
            <family val="2"/>
          </rPr>
          <t xml:space="preserve">This account reflects legal fees or services incurred on behalf of the project. For example, fees incurred for eviction procedures should be reflected in this account. In contrast, legal fees or services related to the mortgagor entity should be reflected in account 7120. </t>
        </r>
      </text>
    </comment>
    <comment ref="B23" authorId="0" shapeId="0" xr:uid="{00000000-0006-0000-0700-000015000000}">
      <text>
        <r>
          <rPr>
            <sz val="10"/>
            <color indexed="81"/>
            <rFont val="Tahoma"/>
            <family val="2"/>
          </rPr>
          <t>This account reflects the auditing expense incurred by the project that is directly related to HCD's requirement for audited financial statements. Amounts incurred for the cost of routine maintenance or review of the project's books and records should not be included in this account (see account 6351).</t>
        </r>
      </text>
    </comment>
    <comment ref="B24" authorId="0" shapeId="0" xr:uid="{00000000-0006-0000-0700-000016000000}">
      <text>
        <r>
          <rPr>
            <sz val="10"/>
            <color indexed="81"/>
            <rFont val="Tahoma"/>
            <family val="2"/>
          </rPr>
          <t>This account reflects the cost of bookkeeping fees or accounting or computing services not included in the management fee but paid to either the management agent or another party.</t>
        </r>
      </text>
    </comment>
    <comment ref="B25" authorId="0" shapeId="0" xr:uid="{00000000-0006-0000-0700-000017000000}">
      <text>
        <r>
          <rPr>
            <sz val="10"/>
            <color indexed="81"/>
            <rFont val="Tahoma"/>
            <family val="2"/>
          </rPr>
          <t>This account reflects the amount of tenant bad debts for the period under audit.</t>
        </r>
      </text>
    </comment>
    <comment ref="B26" authorId="0" shapeId="0" xr:uid="{00000000-0006-0000-0700-000018000000}">
      <text>
        <r>
          <rPr>
            <sz val="10"/>
            <color indexed="81"/>
            <rFont val="Tahoma"/>
            <family val="2"/>
          </rPr>
          <t xml:space="preserve">This Account records administrative expenses not otherwise classified in the 6300 series. Itemized expense detail must be entered below. </t>
        </r>
      </text>
    </comment>
    <comment ref="B27" authorId="1" shapeId="0" xr:uid="{00000000-0006-0000-0700-000019000000}">
      <text>
        <r>
          <rPr>
            <sz val="10"/>
            <color indexed="81"/>
            <rFont val="Tahoma"/>
            <family val="2"/>
          </rPr>
          <t>This account must equal the sum of accounts 6203 through 6390.</t>
        </r>
        <r>
          <rPr>
            <sz val="9"/>
            <color indexed="81"/>
            <rFont val="Tahoma"/>
            <family val="2"/>
          </rPr>
          <t xml:space="preserve">
</t>
        </r>
      </text>
    </comment>
    <comment ref="B29" authorId="0" shapeId="0" xr:uid="{00000000-0006-0000-0700-00001A000000}">
      <text>
        <r>
          <rPr>
            <sz val="10"/>
            <color indexed="81"/>
            <rFont val="Tahoma"/>
            <family val="2"/>
          </rPr>
          <t>This account reflects the cost of electricity charges billed to the project.</t>
        </r>
      </text>
    </comment>
    <comment ref="B30" authorId="0" shapeId="0" xr:uid="{00000000-0006-0000-0700-00001B000000}">
      <text>
        <r>
          <rPr>
            <sz val="10"/>
            <color indexed="81"/>
            <rFont val="Tahoma"/>
            <family val="2"/>
          </rPr>
          <t>This account reflects the cost of water charges billed to the project.</t>
        </r>
      </text>
    </comment>
    <comment ref="B31" authorId="0" shapeId="0" xr:uid="{00000000-0006-0000-0700-00001C000000}">
      <text>
        <r>
          <rPr>
            <sz val="10"/>
            <color indexed="81"/>
            <rFont val="Tahoma"/>
            <family val="2"/>
          </rPr>
          <t>This account reflects the cost of gas charges billed to the project.</t>
        </r>
      </text>
    </comment>
    <comment ref="B32" authorId="0" shapeId="0" xr:uid="{00000000-0006-0000-0700-00001D000000}">
      <text>
        <r>
          <rPr>
            <sz val="10"/>
            <color indexed="81"/>
            <rFont val="Tahoma"/>
            <family val="2"/>
          </rPr>
          <t>This account reflects the cost of sewer charges billed to the project.</t>
        </r>
      </text>
    </comment>
    <comment ref="B33" authorId="1" shapeId="0" xr:uid="{00000000-0006-0000-0700-00001E000000}">
      <text>
        <r>
          <rPr>
            <sz val="10"/>
            <color indexed="81"/>
            <rFont val="Tahoma"/>
            <family val="2"/>
          </rPr>
          <t>This account must equal the sum of accounts 6450 through 6453.</t>
        </r>
        <r>
          <rPr>
            <sz val="9"/>
            <color indexed="81"/>
            <rFont val="Tahoma"/>
            <family val="2"/>
          </rPr>
          <t xml:space="preserve">
</t>
        </r>
      </text>
    </comment>
    <comment ref="B35" authorId="0" shapeId="0" xr:uid="{00000000-0006-0000-0700-00001F000000}">
      <text>
        <r>
          <rPr>
            <sz val="10"/>
            <color indexed="81"/>
            <rFont val="Tahoma"/>
            <family val="2"/>
          </rPr>
          <t>This account reflects the salaries of project employees who perform services including but not limited to janitorial/cleaning, exterminating, grounds, repairs, and decorating. This account does not include the project's share of payroll taxes (FICA and Unemployment) or other employee benefits paid by the project. Supporting detail is not  required for this account unless requested by HCD.</t>
        </r>
      </text>
    </comment>
    <comment ref="B36" authorId="0" shapeId="0" xr:uid="{00000000-0006-0000-0700-000020000000}">
      <text>
        <r>
          <rPr>
            <sz val="10"/>
            <color indexed="81"/>
            <rFont val="Tahoma"/>
            <family val="2"/>
          </rPr>
          <t xml:space="preserve">This account reflects all costs of supplies charged to the project for janitorial/cleaning, exterminating, grounds, repairs, and decorating. </t>
        </r>
      </text>
    </comment>
    <comment ref="B37" authorId="2" shapeId="0" xr:uid="{00000000-0006-0000-0700-000021000000}">
      <text>
        <r>
          <rPr>
            <sz val="10"/>
            <color indexed="81"/>
            <rFont val="Tahoma"/>
            <family val="2"/>
          </rPr>
          <t>This account reflects the cost of contracts the owner or agent executes with third parties on behalf of the project for janitorial/cleaning, exterminating, grounds, repairs, elevator maintenance, swimming pool maintenance, and decorating.</t>
        </r>
      </text>
    </comment>
    <comment ref="B38" authorId="0" shapeId="0" xr:uid="{00000000-0006-0000-0700-000022000000}">
      <text>
        <r>
          <rPr>
            <sz val="10"/>
            <color indexed="81"/>
            <rFont val="Tahoma"/>
            <family val="2"/>
          </rPr>
          <t xml:space="preserve">This account reflects the contract rent of any rent free unit provided to operating and maintenance personnel which would otherwise be considered revenue producing. Partial rent reductions given should be reflected in this account as well. </t>
        </r>
      </text>
    </comment>
    <comment ref="B39" authorId="0" shapeId="0" xr:uid="{00000000-0006-0000-0700-000023000000}">
      <text>
        <r>
          <rPr>
            <sz val="10"/>
            <color indexed="81"/>
            <rFont val="Tahoma"/>
            <family val="2"/>
          </rPr>
          <t>This account reflects the cost of removing garbage and rubbish from the project. The account does not include salaries paid to janitors who collect the trash.</t>
        </r>
      </text>
    </comment>
    <comment ref="B40" authorId="0" shapeId="0" xr:uid="{00000000-0006-0000-0700-000024000000}">
      <text>
        <r>
          <rPr>
            <sz val="10"/>
            <color indexed="81"/>
            <rFont val="Tahoma"/>
            <family val="2"/>
          </rPr>
          <t xml:space="preserve">This account reflects the project's payroll cost attributable to the protection of the project or the cost of a protection contract that the owner or agent executes on behalf of the project. </t>
        </r>
      </text>
    </comment>
    <comment ref="B41" authorId="2" shapeId="0" xr:uid="{00000000-0006-0000-0700-000025000000}">
      <text>
        <r>
          <rPr>
            <sz val="10"/>
            <color indexed="81"/>
            <rFont val="Tahoma"/>
            <family val="2"/>
          </rPr>
          <t>This account reflects the contract rent of any rent free unit provided to security personnel or a unit used for the purpose of security of the project (for example, police substations). Partial rent reductions given should be reflected in this account as well.</t>
        </r>
      </text>
    </comment>
    <comment ref="B42" authorId="0" shapeId="0" xr:uid="{00000000-0006-0000-0700-000026000000}">
      <text>
        <r>
          <rPr>
            <sz val="10"/>
            <color indexed="81"/>
            <rFont val="Tahoma"/>
            <family val="2"/>
          </rPr>
          <t>This account reflects the cost of repairing and maintaining heating or air conditioning equipment owned by the project.</t>
        </r>
      </text>
    </comment>
    <comment ref="B43" authorId="0" shapeId="0" xr:uid="{00000000-0006-0000-0700-000027000000}">
      <text>
        <r>
          <rPr>
            <sz val="10"/>
            <color indexed="81"/>
            <rFont val="Tahoma"/>
            <family val="2"/>
          </rPr>
          <t>This account reflects the cost of removing snow from project sidewalks and parking areas.</t>
        </r>
      </text>
    </comment>
    <comment ref="B44" authorId="0" shapeId="0" xr:uid="{00000000-0006-0000-0700-000028000000}">
      <text>
        <r>
          <rPr>
            <sz val="10"/>
            <color indexed="81"/>
            <rFont val="Tahoma"/>
            <family val="2"/>
          </rPr>
          <t>This account reflects the cost of operating and repairing project motor vehicles and maintenance equipment. Motor vehicle insurance is not included in this account but is charged to account 6720, Property and Liability Insurance (Hazard).</t>
        </r>
      </text>
    </comment>
    <comment ref="B45" authorId="0" shapeId="0" xr:uid="{00000000-0006-0000-0700-000029000000}">
      <text>
        <r>
          <rPr>
            <sz val="10"/>
            <color indexed="81"/>
            <rFont val="Tahoma"/>
            <family val="2"/>
          </rPr>
          <t>This account should be used to record
the lease expense associated with the
lease of project operators to a second
party operator, or to record expenses
associated with leasing equipment or
facilities.</t>
        </r>
      </text>
    </comment>
    <comment ref="B46" authorId="0" shapeId="0" xr:uid="{00000000-0006-0000-0700-00002A000000}">
      <text>
        <r>
          <rPr>
            <sz val="10"/>
            <color indexed="81"/>
            <rFont val="Tahoma"/>
            <family val="2"/>
          </rPr>
          <t xml:space="preserve">This account reflects the cost of maintenance and repairs not otherwise classified in the 6500 account Series. Itemized expense detail must be entered below.
</t>
        </r>
        <r>
          <rPr>
            <b/>
            <sz val="10"/>
            <color indexed="81"/>
            <rFont val="Tahoma"/>
            <family val="2"/>
          </rPr>
          <t>Do not include costs that will be paid for by a Reserve withdrawal and capitalized on the Financial Statements.</t>
        </r>
      </text>
    </comment>
    <comment ref="B47" authorId="1" shapeId="0" xr:uid="{00000000-0006-0000-0700-00002B000000}">
      <text>
        <r>
          <rPr>
            <sz val="10"/>
            <color indexed="81"/>
            <rFont val="Tahoma"/>
            <family val="2"/>
          </rPr>
          <t>This account must equal the sum of accounts 6510 through 6590.</t>
        </r>
        <r>
          <rPr>
            <sz val="9"/>
            <color indexed="81"/>
            <rFont val="Tahoma"/>
            <family val="2"/>
          </rPr>
          <t xml:space="preserve">
</t>
        </r>
      </text>
    </comment>
    <comment ref="B49" authorId="0" shapeId="0" xr:uid="{00000000-0006-0000-0700-00002C000000}">
      <text>
        <r>
          <rPr>
            <sz val="10"/>
            <color indexed="81"/>
            <rFont val="Tahoma"/>
            <family val="2"/>
          </rPr>
          <t xml:space="preserve">This account reflects payments made for real estate taxes of the project. This may represent a payment in lieu of taxes (only in certain jurisdictions), which is generally charged as a percentage of income. </t>
        </r>
      </text>
    </comment>
    <comment ref="B50" authorId="0" shapeId="0" xr:uid="{00000000-0006-0000-0700-00002D000000}">
      <text>
        <r>
          <rPr>
            <sz val="10"/>
            <color indexed="81"/>
            <rFont val="Tahoma"/>
            <family val="2"/>
          </rPr>
          <t>This account reflects the project's share of FICA and State and Federal Unemployment taxes.</t>
        </r>
      </text>
    </comment>
    <comment ref="B51" authorId="0" shapeId="0" xr:uid="{00000000-0006-0000-0700-00002E000000}">
      <text>
        <r>
          <rPr>
            <sz val="10"/>
            <color indexed="81"/>
            <rFont val="Tahoma"/>
            <family val="2"/>
          </rPr>
          <t>This account reflects the cost of project property and liability insurance.</t>
        </r>
      </text>
    </comment>
    <comment ref="B52" authorId="0" shapeId="0" xr:uid="{00000000-0006-0000-0700-00002F000000}">
      <text>
        <r>
          <rPr>
            <sz val="10"/>
            <color indexed="81"/>
            <rFont val="Tahoma"/>
            <family val="2"/>
          </rPr>
          <t>This account reflects the cost of bonding project employees who handle funds.</t>
        </r>
      </text>
    </comment>
    <comment ref="B53" authorId="0" shapeId="0" xr:uid="{00000000-0006-0000-0700-000030000000}">
      <text>
        <r>
          <rPr>
            <sz val="10"/>
            <color indexed="81"/>
            <rFont val="Tahoma"/>
            <family val="2"/>
          </rPr>
          <t>This account reflects the cost of workmen's compensation insurance for project employees.</t>
        </r>
      </text>
    </comment>
    <comment ref="B54" authorId="0" shapeId="0" xr:uid="{00000000-0006-0000-0700-000031000000}">
      <text>
        <r>
          <rPr>
            <sz val="10"/>
            <color indexed="81"/>
            <rFont val="Tahoma"/>
            <family val="2"/>
          </rPr>
          <t>This account reflects the cost of any health insurance and other employee benefits charged to the project.</t>
        </r>
      </text>
    </comment>
    <comment ref="B55" authorId="2" shapeId="0" xr:uid="{00000000-0006-0000-0700-000032000000}">
      <text>
        <r>
          <rPr>
            <sz val="10"/>
            <color indexed="81"/>
            <rFont val="Tahoma"/>
            <family val="2"/>
          </rPr>
          <t>This account reflects any taxes, licenses, permit fees, or cost of insurance assessed to the project and not otherwise categorized in the 6700 Series. If Budgeted Miscellaneous Taxes, Licenses, Permits and Insurance is $1,000 or higher, provide expenditure detail (type and amounts) on Worksheet 4 Explanation of Budget.</t>
        </r>
      </text>
    </comment>
    <comment ref="B56" authorId="1" shapeId="0" xr:uid="{00000000-0006-0000-0700-000033000000}">
      <text>
        <r>
          <rPr>
            <sz val="10"/>
            <color indexed="81"/>
            <rFont val="Tahoma"/>
            <family val="2"/>
          </rPr>
          <t>This account must equal the sum of accounts 6710 through 6790.</t>
        </r>
        <r>
          <rPr>
            <sz val="9"/>
            <color indexed="81"/>
            <rFont val="Tahoma"/>
            <family val="2"/>
          </rPr>
          <t xml:space="preserve">
</t>
        </r>
      </text>
    </comment>
    <comment ref="B57" authorId="3" shapeId="0" xr:uid="{00000000-0006-0000-0700-000034000000}">
      <text>
        <r>
          <rPr>
            <b/>
            <sz val="9"/>
            <color indexed="81"/>
            <rFont val="Tahoma"/>
            <family val="2"/>
          </rPr>
          <t>Renamed for HCD use - HUD Account Title is "Nursing Homes/Assisted Living/ Board &amp; Care/Other Elderly Care Expenses"</t>
        </r>
        <r>
          <rPr>
            <sz val="9"/>
            <color indexed="81"/>
            <rFont val="Tahoma"/>
            <family val="2"/>
          </rPr>
          <t xml:space="preserve">
</t>
        </r>
      </text>
    </comment>
    <comment ref="B58" authorId="0" shapeId="0" xr:uid="{00000000-0006-0000-0700-000035000000}">
      <text>
        <r>
          <rPr>
            <sz val="10"/>
            <color indexed="81"/>
            <rFont val="Tahoma"/>
            <family val="2"/>
          </rPr>
          <t>This line item within account #6990 is to record salary cost of the Staff Supervisor related to Supportive Services for this Project. Percentage to the right relates to the 2017 UMR limits §8314(f)(1) - shall not exceed 10% of total cost of on-site staff salaries (if percentage cell is shaded red, amount exceeds allowable limit).</t>
        </r>
      </text>
    </comment>
    <comment ref="B59" authorId="0" shapeId="0" xr:uid="{00000000-0006-0000-0700-000036000000}">
      <text>
        <r>
          <rPr>
            <sz val="10"/>
            <color indexed="81"/>
            <rFont val="Tahoma"/>
            <family val="2"/>
          </rPr>
          <t>This line item within account #6990 is to record the salary and benefits expenses related to Supportive Services Coordinator.</t>
        </r>
      </text>
    </comment>
    <comment ref="B60" authorId="0" shapeId="0" xr:uid="{00000000-0006-0000-0700-000037000000}">
      <text>
        <r>
          <rPr>
            <sz val="10"/>
            <color indexed="81"/>
            <rFont val="Tahoma"/>
            <family val="2"/>
          </rPr>
          <t>This line item within account #6990 is to record Staff salary cost (not Supervisory or Service Coordination) related to Supportive Services for this Project.</t>
        </r>
      </text>
    </comment>
    <comment ref="B61" authorId="0" shapeId="0" xr:uid="{00000000-0006-0000-0700-000038000000}">
      <text>
        <r>
          <rPr>
            <sz val="10"/>
            <color indexed="81"/>
            <rFont val="Tahoma"/>
            <family val="2"/>
          </rPr>
          <t>This line item within account #6990 is to record Administrative overhead expenses related to Supportive Services for this Project. Percentage to the right relates to the 2017 UMR limits §8314(f)(2) - shall not exceed 15% of total cost of the total Supportive Services Costs paid as operating expenses (if percentage cell is shaded red, amount exceeds allowable limit).</t>
        </r>
      </text>
    </comment>
    <comment ref="B62" authorId="0" shapeId="0" xr:uid="{00000000-0006-0000-0700-000039000000}">
      <text>
        <r>
          <rPr>
            <sz val="10"/>
            <color indexed="81"/>
            <rFont val="Tahoma"/>
            <family val="2"/>
          </rPr>
          <t>This line item within Account #6990 is to record the cost of the actual Supportive Services delivered to the project's tenants
-</t>
        </r>
        <r>
          <rPr>
            <b/>
            <i/>
            <sz val="10"/>
            <color indexed="81"/>
            <rFont val="Tahoma"/>
            <family val="2"/>
          </rPr>
          <t>See UMR §8301 (t) and (u)</t>
        </r>
        <r>
          <rPr>
            <sz val="10"/>
            <color indexed="81"/>
            <rFont val="Tahoma"/>
            <family val="2"/>
          </rPr>
          <t>.
I</t>
        </r>
        <r>
          <rPr>
            <b/>
            <sz val="10"/>
            <color indexed="81"/>
            <rFont val="Tahoma"/>
            <family val="2"/>
          </rPr>
          <t>temized expense detail must be entered below.</t>
        </r>
        <r>
          <rPr>
            <sz val="10"/>
            <color indexed="81"/>
            <rFont val="Tahoma"/>
            <family val="2"/>
          </rPr>
          <t xml:space="preserve">
For </t>
        </r>
        <r>
          <rPr>
            <b/>
            <sz val="10"/>
            <color indexed="81"/>
            <rFont val="Tahoma"/>
            <family val="2"/>
          </rPr>
          <t>SUHRP</t>
        </r>
        <r>
          <rPr>
            <sz val="10"/>
            <color indexed="81"/>
            <rFont val="Tahoma"/>
            <family val="2"/>
          </rPr>
          <t xml:space="preserve"> and </t>
        </r>
        <r>
          <rPr>
            <b/>
            <sz val="10"/>
            <color indexed="81"/>
            <rFont val="Tahoma"/>
            <family val="2"/>
          </rPr>
          <t>CHRP-R</t>
        </r>
        <r>
          <rPr>
            <sz val="10"/>
            <color indexed="81"/>
            <rFont val="Tahoma"/>
            <family val="2"/>
          </rPr>
          <t xml:space="preserve"> Programs. It is to record tenant care expenses for Group and Nursing Homes, Assisted Living facilities, and Board and Care facilities.
</t>
        </r>
      </text>
    </comment>
    <comment ref="B63" authorId="0" shapeId="0" xr:uid="{00000000-0006-0000-0700-00003A000000}">
      <text>
        <r>
          <rPr>
            <sz val="10"/>
            <color indexed="81"/>
            <rFont val="Tahoma"/>
            <family val="2"/>
          </rPr>
          <t>This account is a combined expense amount for the accounts (6900-6990).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<sst xmlns="http://schemas.openxmlformats.org/spreadsheetml/2006/main" count="885" uniqueCount="349">
  <si>
    <t>Reporting Period:</t>
  </si>
  <si>
    <t>to</t>
  </si>
  <si>
    <t>Project Name:</t>
  </si>
  <si>
    <t>Prepared by:</t>
  </si>
  <si>
    <t>Other Renting Expenses</t>
  </si>
  <si>
    <t>Office Salaries</t>
  </si>
  <si>
    <t>Office or Model Apartment Rent</t>
  </si>
  <si>
    <t>Manager or Superintendent Salaries</t>
  </si>
  <si>
    <t>Legal Expense - Project</t>
  </si>
  <si>
    <t>Electricity</t>
  </si>
  <si>
    <t>Water</t>
  </si>
  <si>
    <t>Gas</t>
  </si>
  <si>
    <t>Sewer</t>
  </si>
  <si>
    <t>6400T</t>
  </si>
  <si>
    <t>Garbage and Trash Removal</t>
  </si>
  <si>
    <t>Heating/Cooling Repairs and Maintenance</t>
  </si>
  <si>
    <t>Snow Removal</t>
  </si>
  <si>
    <t>6500T</t>
  </si>
  <si>
    <t>Real Estate Taxes</t>
  </si>
  <si>
    <t>Payroll Taxes (Project's Share)</t>
  </si>
  <si>
    <t>Fidelity Bond Insurance</t>
  </si>
  <si>
    <t>Worker's Compensation</t>
  </si>
  <si>
    <t>6700T</t>
  </si>
  <si>
    <t>6900T</t>
  </si>
  <si>
    <t>6000T</t>
  </si>
  <si>
    <t>Title</t>
  </si>
  <si>
    <t>Date</t>
  </si>
  <si>
    <t>Commercial</t>
  </si>
  <si>
    <t>Rent Revenue - Gross Potential</t>
  </si>
  <si>
    <t>Rent Revenue - Stores and Commercial</t>
  </si>
  <si>
    <t>Garage and Parking Spaces</t>
  </si>
  <si>
    <t>Flexible Subsidy Revenue</t>
  </si>
  <si>
    <t/>
  </si>
  <si>
    <t>Apartments</t>
  </si>
  <si>
    <t>Stores and Commercial</t>
  </si>
  <si>
    <t>Rental Concessions</t>
  </si>
  <si>
    <t>Laundry and Vending Revenue</t>
  </si>
  <si>
    <t>Lease Payment</t>
  </si>
  <si>
    <t>Other Reserves</t>
  </si>
  <si>
    <t>HCD Interest Payments</t>
  </si>
  <si>
    <t>Borrower Distributions</t>
  </si>
  <si>
    <t>Residual Receipt Loan Payments</t>
  </si>
  <si>
    <t xml:space="preserve">                                             Reporting Period:</t>
  </si>
  <si>
    <t>(A)</t>
  </si>
  <si>
    <t>(B)</t>
  </si>
  <si>
    <t>(C)</t>
  </si>
  <si>
    <t>(D)</t>
  </si>
  <si>
    <t xml:space="preserve">                           Reporting Period:</t>
  </si>
  <si>
    <t>(E)</t>
  </si>
  <si>
    <t>(F)</t>
  </si>
  <si>
    <t>(G)</t>
  </si>
  <si>
    <t>(H)</t>
  </si>
  <si>
    <t>(I)</t>
  </si>
  <si>
    <t>(J)</t>
  </si>
  <si>
    <t>(K)</t>
  </si>
  <si>
    <t>Borrower Contribution</t>
  </si>
  <si>
    <t>Total Additional Revenue</t>
  </si>
  <si>
    <t>Total Use of Cash Flow</t>
  </si>
  <si>
    <t>Other (specify)</t>
  </si>
  <si>
    <t xml:space="preserve">  Reporting Period:</t>
  </si>
  <si>
    <t>Account Name</t>
  </si>
  <si>
    <t>5100T</t>
  </si>
  <si>
    <t>Total Rent Revenue</t>
  </si>
  <si>
    <t>Rent Revenue:</t>
  </si>
  <si>
    <t>Vacancies:</t>
  </si>
  <si>
    <t>Total Vacancies</t>
  </si>
  <si>
    <t>5200T</t>
  </si>
  <si>
    <t>Total Financial Revenue:</t>
  </si>
  <si>
    <t>Other Revenue:</t>
  </si>
  <si>
    <t>Total Other Revenue</t>
  </si>
  <si>
    <t>5900T</t>
  </si>
  <si>
    <t>Net Rental Revenues (Rent Revenue Less Vacancies)</t>
  </si>
  <si>
    <t>5152N</t>
  </si>
  <si>
    <t>Total Revenue</t>
  </si>
  <si>
    <t>5000T</t>
  </si>
  <si>
    <t>Profit (Loss) before Depreciation</t>
  </si>
  <si>
    <t>5060T</t>
  </si>
  <si>
    <t>Administrative Expenses:</t>
  </si>
  <si>
    <t>6263T</t>
  </si>
  <si>
    <t>Total Administrative Expenses</t>
  </si>
  <si>
    <t>Utilities Expenses:</t>
  </si>
  <si>
    <t>Total Operating and Maintenance Expenses</t>
  </si>
  <si>
    <t>Taxes and Insurance:</t>
  </si>
  <si>
    <t>Total Taxes and Insurance</t>
  </si>
  <si>
    <t>Name</t>
  </si>
  <si>
    <t>Project Totals</t>
  </si>
  <si>
    <t>Project Cash Flow</t>
  </si>
  <si>
    <t>Total Project</t>
  </si>
  <si>
    <t>Miscellaneous Vacancies</t>
  </si>
  <si>
    <t>Tenant Assistance Payments</t>
  </si>
  <si>
    <t>Account
Codes</t>
  </si>
  <si>
    <t>Total Utilities Expenses</t>
  </si>
  <si>
    <t>Total Cost of Operations</t>
  </si>
  <si>
    <t>Replacement Reserve - Deposit</t>
  </si>
  <si>
    <t>Operating Reserve - Deposit</t>
  </si>
  <si>
    <t>Transition Reserve  - Deposit</t>
  </si>
  <si>
    <t>Miscellaneous Financial Expenses</t>
  </si>
  <si>
    <t>Total Financial Expenses</t>
  </si>
  <si>
    <t>6800T</t>
  </si>
  <si>
    <t>Total Reserves Deposits</t>
  </si>
  <si>
    <t>1300T</t>
  </si>
  <si>
    <t>Reserves Deposits:</t>
  </si>
  <si>
    <t>1st Mortgage (P&amp;I)</t>
  </si>
  <si>
    <t>2nd Mortgage (P&amp;I)</t>
  </si>
  <si>
    <t>3rd Mortgage (P&amp;I)</t>
  </si>
  <si>
    <t xml:space="preserve">Total Number of Units: </t>
  </si>
  <si>
    <t>Vacancy %</t>
  </si>
  <si>
    <t>Deferred Developer Fee Payments</t>
  </si>
  <si>
    <t>HCD Use Only</t>
  </si>
  <si>
    <t>Commercial
Proposed</t>
  </si>
  <si>
    <t>Proration
Percentage</t>
  </si>
  <si>
    <t>Variance
Amount</t>
  </si>
  <si>
    <t>Project Total Costs</t>
  </si>
  <si>
    <t>Misc. Revenue (don't include Reserve Withdrawals)</t>
  </si>
  <si>
    <t>Utilities:</t>
  </si>
  <si>
    <t>Financial Revenue (don't incl. Reserve Acct. Interest)</t>
  </si>
  <si>
    <t>Alameda</t>
  </si>
  <si>
    <t>Alpine</t>
  </si>
  <si>
    <t>Amador</t>
  </si>
  <si>
    <t>Butte</t>
  </si>
  <si>
    <t>Calaveras</t>
  </si>
  <si>
    <t>Colusa</t>
  </si>
  <si>
    <t>Contra Costa</t>
  </si>
  <si>
    <t>Del Norte</t>
  </si>
  <si>
    <t>El Dorado</t>
  </si>
  <si>
    <t>Fresno</t>
  </si>
  <si>
    <t>Glenn</t>
  </si>
  <si>
    <t>Humboldt</t>
  </si>
  <si>
    <t>Inyo</t>
  </si>
  <si>
    <t>Kern</t>
  </si>
  <si>
    <t>Kings</t>
  </si>
  <si>
    <t>Lake</t>
  </si>
  <si>
    <t>Madera</t>
  </si>
  <si>
    <t>Mariposa</t>
  </si>
  <si>
    <t>Mendocino</t>
  </si>
  <si>
    <t>Merced</t>
  </si>
  <si>
    <t>Modoc</t>
  </si>
  <si>
    <t>Monterey</t>
  </si>
  <si>
    <t>Napa</t>
  </si>
  <si>
    <t>Nevada</t>
  </si>
  <si>
    <t>Orange</t>
  </si>
  <si>
    <t>Placer</t>
  </si>
  <si>
    <t>Plumas</t>
  </si>
  <si>
    <t>Riverside</t>
  </si>
  <si>
    <t>Sacramento</t>
  </si>
  <si>
    <t>Line #</t>
  </si>
  <si>
    <t>Prepared By:</t>
  </si>
  <si>
    <t>Phone #:</t>
  </si>
  <si>
    <t>Project County:</t>
  </si>
  <si>
    <t>Total Units:</t>
  </si>
  <si>
    <t xml:space="preserve">Other Prorata % Used: </t>
  </si>
  <si>
    <t>Approved By:</t>
  </si>
  <si>
    <r>
      <t>Rent Revenue (</t>
    </r>
    <r>
      <rPr>
        <i/>
        <sz val="10"/>
        <rFont val="Arial"/>
        <family val="2"/>
      </rPr>
      <t>Gross Potential Rent</t>
    </r>
    <r>
      <rPr>
        <sz val="10"/>
        <rFont val="Arial"/>
        <family val="2"/>
      </rPr>
      <t>)</t>
    </r>
  </si>
  <si>
    <t>Date Prepared:</t>
  </si>
  <si>
    <t>Date Revised:</t>
  </si>
  <si>
    <t>Amount</t>
  </si>
  <si>
    <t>Account 6390 Miscellaneous Administrative Expenses</t>
  </si>
  <si>
    <t>Account 6590 Miscellaneous Operations &amp; Maintenance Expenses</t>
  </si>
  <si>
    <t>Account 6890 Miscellaneous Financial Expenses</t>
  </si>
  <si>
    <t>Total Account 6390 Miscellaneous Administrative Expenses</t>
  </si>
  <si>
    <t>Total Account 6590 Miscellaneous Operations &amp; Maintenance Expenses</t>
  </si>
  <si>
    <t>Total Account 6890 Miscellaneous Financial Expenses</t>
  </si>
  <si>
    <t>Item #</t>
  </si>
  <si>
    <t>Proposed
Budget</t>
  </si>
  <si>
    <t>Prorated Proposed Budget</t>
  </si>
  <si>
    <t>Total Proposed Budget</t>
  </si>
  <si>
    <t>Annual Budget</t>
  </si>
  <si>
    <t>Per Unit
Per Month</t>
  </si>
  <si>
    <t>Sponsor
Actuals</t>
  </si>
  <si>
    <t>Lassen</t>
  </si>
  <si>
    <t>Los Angeles</t>
  </si>
  <si>
    <t>Proration %:</t>
  </si>
  <si>
    <t>Sponsor Actuals</t>
  </si>
  <si>
    <t>HCD Approved Actuals</t>
  </si>
  <si>
    <t>HCD Itemization of HCD Approved Actuals</t>
  </si>
  <si>
    <t>Sponsor itemization of misc. revenues/expenses (total will flow to account above)</t>
  </si>
  <si>
    <t>For each account below, itemize the revenues/expenses (total will flow to account above)</t>
  </si>
  <si>
    <t>For each account below, itemize the expenses (total will flow to account above)</t>
  </si>
  <si>
    <t>Conventions and Meetings</t>
  </si>
  <si>
    <t>Management Consultants</t>
  </si>
  <si>
    <t>Advertising and Marketing</t>
  </si>
  <si>
    <t>Office Expenses</t>
  </si>
  <si>
    <t>Management Fee (do not include GP Management Fee)</t>
  </si>
  <si>
    <t>Administrative Rent Free Unit</t>
  </si>
  <si>
    <t>Audit Expense</t>
  </si>
  <si>
    <t>Bookkeeping Fees/ Accounting Services</t>
  </si>
  <si>
    <t>Bad Debts</t>
  </si>
  <si>
    <t>Operating and Maintenance Expenses:</t>
  </si>
  <si>
    <t>Payroll</t>
  </si>
  <si>
    <t>Supplies</t>
  </si>
  <si>
    <t>Contracts</t>
  </si>
  <si>
    <t>Operating and Maintenance Rent Free Unit</t>
  </si>
  <si>
    <t>Security Rent Free Unit</t>
  </si>
  <si>
    <t>Vehicle and Maintenance Equip. Operation and Repairs</t>
  </si>
  <si>
    <t>Property &amp; Liability Insurance (Hazard)</t>
  </si>
  <si>
    <t>Health Insurance and Other Employee Benefits</t>
  </si>
  <si>
    <t>Miscellaneous Taxes, Licenses, Permits and Insurance</t>
  </si>
  <si>
    <t>Security Payroll/Contracts</t>
  </si>
  <si>
    <t>Lease Expense</t>
  </si>
  <si>
    <t>Account 6790 Misc. Taxes, Licenses, Permits &amp; Insurance</t>
  </si>
  <si>
    <t>Total Account 6790 Misc. Taxes, Licenses, Permits &amp; Insurance</t>
  </si>
  <si>
    <t>Miscellaneous Rent Revenue</t>
  </si>
  <si>
    <t>Tenant Charges</t>
  </si>
  <si>
    <t>Account 5190 Miscellaneous Rent Revenue</t>
  </si>
  <si>
    <t>Total Account 5190 Miscellaneous Rent Revenue</t>
  </si>
  <si>
    <t>Financial Expenses including mandatory debt service:</t>
  </si>
  <si>
    <t>Account 5390 Other Service Revenue</t>
  </si>
  <si>
    <t>Total Account 5390 Other Service Revenue</t>
  </si>
  <si>
    <t>Revenue from Investments- Miscellaneous</t>
  </si>
  <si>
    <t>5400T</t>
  </si>
  <si>
    <t>Total Financial Revenue</t>
  </si>
  <si>
    <t>Account 5490 Revenue from Investments- Miscellaneous</t>
  </si>
  <si>
    <t>Total Account 5490 Revenue from Investments- Miscellaneous</t>
  </si>
  <si>
    <t>Total Cost of Operations before Depreciation</t>
  </si>
  <si>
    <t>Sponsor itemization of misc. rev./exp. (total flows to account above)</t>
  </si>
  <si>
    <t>Acct.
Code</t>
  </si>
  <si>
    <t>Account
Code</t>
  </si>
  <si>
    <t>Var.
%</t>
  </si>
  <si>
    <t>Misc. Taxes, Licenses, Permits and Ins.</t>
  </si>
  <si>
    <t>Misc. Operating &amp; Maintenance Expenses</t>
  </si>
  <si>
    <t>Total Operating &amp; Maintenance Exp.</t>
  </si>
  <si>
    <t>Misc. Administrative Expenses</t>
  </si>
  <si>
    <t>Health Ins. &amp; Other Employee Benefits</t>
  </si>
  <si>
    <t>Misc. Operating &amp; Maintenance Exp.</t>
  </si>
  <si>
    <t>Vehicle &amp; Maint Equip Operation/Repairs</t>
  </si>
  <si>
    <t>Operating &amp; Maintenance Rent Free Unit</t>
  </si>
  <si>
    <t xml:space="preserve">Project Location-County:  </t>
  </si>
  <si>
    <t>Additions to Cash Flow:</t>
  </si>
  <si>
    <t>San Benito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</si>
  <si>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</si>
  <si>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</si>
  <si>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</si>
  <si>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</si>
  <si>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</si>
  <si>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</si>
  <si>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</si>
  <si>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</si>
  <si>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</si>
  <si>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</si>
  <si>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</si>
  <si>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</si>
  <si>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</si>
  <si>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</si>
  <si>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</si>
  <si>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</si>
  <si>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</si>
  <si>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</si>
  <si>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</si>
  <si>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</si>
  <si>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</si>
  <si>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</si>
  <si>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PLEASE READ - what's new:</t>
  </si>
  <si>
    <t>Management Fee-don't inc GP Mngmt Fee</t>
  </si>
  <si>
    <t>Use of Cash Flow (final approval with Annual Report):</t>
  </si>
  <si>
    <t>Staff Supervisors Salaries</t>
  </si>
  <si>
    <t>Other Supportive Services Staff Salaries</t>
  </si>
  <si>
    <t>Service Coordinator Salaries and Benefits</t>
  </si>
  <si>
    <t>On-site Services Coordinator Salaries and Benefits</t>
  </si>
  <si>
    <t>On-site Other Supportive Services Staff Salaries</t>
  </si>
  <si>
    <t>On-site Service Coordinator Salaries and Benefits</t>
  </si>
  <si>
    <t>Account 5390 Supportive Services Revenue</t>
  </si>
  <si>
    <r>
      <t xml:space="preserve">Supportive Services Revenue </t>
    </r>
    <r>
      <rPr>
        <b/>
        <sz val="8"/>
        <rFont val="Arial"/>
        <family val="2"/>
      </rPr>
      <t>(enter detail in lines 59-62)</t>
    </r>
    <r>
      <rPr>
        <b/>
        <sz val="10"/>
        <rFont val="Arial"/>
        <family val="2"/>
      </rPr>
      <t>:</t>
    </r>
  </si>
  <si>
    <r>
      <t>Supportive Services Revenue</t>
    </r>
    <r>
      <rPr>
        <b/>
        <sz val="10"/>
        <rFont val="Arial"/>
        <family val="2"/>
      </rPr>
      <t>:</t>
    </r>
  </si>
  <si>
    <t>Account 5990 Miscellaneous Revenue</t>
  </si>
  <si>
    <t>Total Account 5990 Miscellaneous Revenue</t>
  </si>
  <si>
    <t>Supportive Services Costs:</t>
  </si>
  <si>
    <t>Total Supportive Services Costs</t>
  </si>
  <si>
    <t>Other Supportive Services Costs</t>
  </si>
  <si>
    <t>Account 6990 Other Supportive Services Costs</t>
  </si>
  <si>
    <t>Total Account 6990 Other Supportive Services Costs</t>
  </si>
  <si>
    <t>Supportive Services Administrative Overhead</t>
  </si>
  <si>
    <t>Supportive Serv Administrative Overhead</t>
  </si>
  <si>
    <t>Imperial</t>
  </si>
  <si>
    <t>Mono</t>
  </si>
  <si>
    <t>Financial Revenue:</t>
  </si>
  <si>
    <t>The following three worksheet Tabs (colored in light yellow) are to be completed by the Sponsor:</t>
  </si>
  <si>
    <t>https://www.hcd.ca.gov/reporting-and-compliance-loan-programs</t>
  </si>
  <si>
    <t>(A)
 Total 
Budget
Proposed</t>
  </si>
  <si>
    <r>
      <t xml:space="preserve">Please use the </t>
    </r>
    <r>
      <rPr>
        <b/>
        <sz val="12"/>
        <rFont val="Arial"/>
        <family val="2"/>
      </rPr>
      <t xml:space="preserve">Tab </t>
    </r>
    <r>
      <rPr>
        <sz val="12"/>
        <rFont val="Arial"/>
        <family val="2"/>
      </rPr>
      <t>key to navigate through the form.</t>
    </r>
  </si>
  <si>
    <t>Comments or Variance Explanation</t>
  </si>
  <si>
    <t>HCD/CalHFA use only</t>
  </si>
  <si>
    <t>Total Approved Budget</t>
  </si>
  <si>
    <t>HCD/CalHFA Rep notes</t>
  </si>
  <si>
    <t>Prorated Approved Budget</t>
  </si>
  <si>
    <t>Approved
Budget</t>
  </si>
  <si>
    <t>Certifier Type</t>
  </si>
  <si>
    <t xml:space="preserve">1. HCD/CalHFA #:  </t>
  </si>
  <si>
    <t xml:space="preserve">2. HCD/CalHFA #:  </t>
  </si>
  <si>
    <t xml:space="preserve">3. HCD/CalHFA #:  </t>
  </si>
  <si>
    <t xml:space="preserve">4. HCD/CalHFA #:  </t>
  </si>
  <si>
    <t>Approved Other Prorata % based on:</t>
  </si>
  <si>
    <t>Proposed Cost of Operations</t>
  </si>
  <si>
    <t>Actual Cost of Operations</t>
  </si>
  <si>
    <t>Actual Cash Flow</t>
  </si>
  <si>
    <t>Proposed Cash Flow</t>
  </si>
  <si>
    <t>I hereby approve this Operating Budget through the Approved Cash Flow worksheet</t>
  </si>
  <si>
    <t>Representative Approval (for HCD/CalHFA Use only):</t>
  </si>
  <si>
    <t>Approved Cash Flow</t>
  </si>
  <si>
    <r>
      <t xml:space="preserve">Actual Cash Flow </t>
    </r>
    <r>
      <rPr>
        <i/>
        <sz val="9"/>
        <color rgb="FFC00000"/>
        <rFont val="Arial"/>
        <family val="2"/>
      </rPr>
      <t>(generally not required because of Audit requirement; see Checklist and Certification worksheet for reporting instructions)</t>
    </r>
  </si>
  <si>
    <t>Approved Cost of Operations</t>
  </si>
  <si>
    <r>
      <t xml:space="preserve">Actual Cost of Operations </t>
    </r>
    <r>
      <rPr>
        <sz val="10"/>
        <color rgb="FFC00000"/>
        <rFont val="Arial"/>
        <family val="2"/>
      </rPr>
      <t>(</t>
    </r>
    <r>
      <rPr>
        <i/>
        <sz val="10"/>
        <color rgb="FFC00000"/>
        <rFont val="Arial"/>
        <family val="2"/>
      </rPr>
      <t>generally not required because of Audit requirement; see Checklist and Certification worksheet for reporting instructions)</t>
    </r>
  </si>
  <si>
    <t>I hereby approve this Annual Report - Actual Cost of Operations and Actual Cash Flow worksheets</t>
  </si>
  <si>
    <t>Asset Management Fee/Partnership Costs</t>
  </si>
  <si>
    <t>Rep notes (HCD/CalHFA use only)</t>
  </si>
  <si>
    <t>(J)
Budget vs.
Approved
Actuals</t>
  </si>
  <si>
    <t>Budget vs Approved</t>
  </si>
  <si>
    <t>Approved Actuals</t>
  </si>
  <si>
    <t>Itemization of Approved Actuals</t>
  </si>
  <si>
    <t>Approved
Actuals</t>
  </si>
  <si>
    <t>Approved Proration of Cost of Operations</t>
  </si>
  <si>
    <t>Checklist of Required Items</t>
  </si>
  <si>
    <t>Operating Budget Version:</t>
  </si>
  <si>
    <t>12 Month Actuals Projected</t>
  </si>
  <si>
    <t>Proration Percentage Proposed</t>
  </si>
  <si>
    <t>Current Year 8 Month Actuals</t>
  </si>
  <si>
    <t>Commercial Proposed</t>
  </si>
  <si>
    <t>Total
Proposed Budget</t>
  </si>
  <si>
    <t>Budget vs. Current Year 12 Months   $ Variance</t>
  </si>
  <si>
    <t>Budget vs. Current Year 12 Months   % Variance</t>
  </si>
  <si>
    <r>
      <t xml:space="preserve">Annual Report - Required Items </t>
    </r>
    <r>
      <rPr>
        <b/>
        <i/>
        <sz val="11"/>
        <color rgb="FFC00000"/>
        <rFont val="Arial"/>
        <family val="2"/>
      </rPr>
      <t>(only for HCD Projects not required to submit Audited Financial Statements)</t>
    </r>
  </si>
  <si>
    <t>HCD Req. Payments &amp; CalHFA Servicing/Monitoring Fee</t>
  </si>
  <si>
    <t>Rep</t>
  </si>
  <si>
    <t>HCD/CalHFA Representative Approval (for HCD/CalHFA Use only):</t>
  </si>
  <si>
    <t>2. Form 170 - CHECKLIST AND CERTIFICATION:</t>
  </si>
  <si>
    <t>HCD Developments Only - The last two worksheet tabs (colored in orange) are to be completed by the Sponsor (if applicable):</t>
  </si>
  <si>
    <t>a. The Sponsor is required to complete all yellow-shaded fields in this Workbook. 
b. IMPORTANT: These worksheets are to be completed only if the Project is not required to submit Audited Financial Statements, or if the
    Project is required to submit Audited Financial Statements but the submitted Audit does not include the supplemental information as
    described in the Financial Statement Audit Handbook (refer to the 's website link in Section 1 above).
c. These worksheets are due, along with other required forms, following the end of the Project's Fiscal Year for which this Operating Budget
    has been prepared. Please visit the Department's website (refer to the website's link in Section 1 above) for further instructions regarding
    the submission of the Project's Annual Report, including the CPA-certified Audit Report.
d. Upon completion of tabs 8. Form 180 - Actual Cost of Operations and 9. Form 181 - Actual Cash Flow Analysis, the entire
    completed Excel Workbook must be emailed to  as part of the Annual Report and the Audit Report (if required by the Regulatory
    Agreement), and other forms as required by the  Program.
e. Upon completing these tabs, the HCD Representative(s) will fill out the green-shaded Annual Report  HCD Representative 
    Approval section on Worksheet/Tab 2. Form 170 - Checklist and Certification; and will email back the Excel Workbook with any
    additional approvals or conditions to the Management Agent, Borrower, or Sponsor to be retained for their records.</t>
  </si>
  <si>
    <r>
      <t xml:space="preserve">This workbook consists of nine (9) Worksheets (Tabs) displayed at the bottom of the page. Each Tab indicates the name of the Form/Worksheet. This Workbook must be saved to your computer before entering any data. To save this Workbook, the Agencies' recommend Microsoft Edge as the browser to get the required results. Regardless of your browser, please download the form before entering any data, and be sure to save it in the format known as "Excel Macro-Enabled Workbook (*.xlsm). </t>
    </r>
    <r>
      <rPr>
        <i/>
        <sz val="12"/>
        <rFont val="Arial"/>
        <family val="2"/>
      </rPr>
      <t xml:space="preserve">To save this Microsoft Excel workbook to your computer using Microsoft Edge, click the "File" menu, choose the "Save As" option, then select "More options...". In the pop-up window, you will find the field "File name", enter the name of your project, and in the field "Save as type", select the type "Excel Macro-Enanled Workbook (*.xlsm)".
</t>
    </r>
  </si>
  <si>
    <t>3. Form 171 - PROPOSED CASH FLOW ANALYSIS:</t>
  </si>
  <si>
    <t>4. Form 172 - PROPOSED COST OF OPERATIONS:</t>
  </si>
  <si>
    <t>The next three worksheet Tabs (colored green) are for the Agency's use only:</t>
  </si>
  <si>
    <r>
      <t xml:space="preserve">a.  The Sponsor is required to complete all light yellow-shaded fields on this Workbook! When data is entered in these light yellow-shaded
      fields, the information is automatically populated on the linked worksheets in this workbook.
b.  Enter all  Contract Numbers for the Project in the designated cells.
c.  The Proration Percentage is calculated depending on the number of -assisted units in the Project. For example, if the Project has 
     150 units total with 50 units assisted by an  Program, the Proration Percentage would be 33%. 
      If you use a Proration Percentage calculated on a different basis, you must provide the rationale and explain the basis used. 
      If you have questions about the appropriate Proration Factor for your Project, contact your AMC Representative or CalHFA Asset Manager.
d.  Checklist of Required Items: check the box for each item once completed and email it to </t>
    </r>
    <r>
      <rPr>
        <sz val="12"/>
        <color rgb="FF0000FF"/>
        <rFont val="Arial"/>
        <family val="2"/>
      </rPr>
      <t>AMCBranch@hcd.ca.gov</t>
    </r>
    <r>
      <rPr>
        <sz val="12"/>
        <rFont val="Arial"/>
        <family val="2"/>
      </rPr>
      <t xml:space="preserve"> and "CC" your AMC
      Representative or </t>
    </r>
    <r>
      <rPr>
        <sz val="12"/>
        <color rgb="FF0000FF"/>
        <rFont val="Arial"/>
        <family val="2"/>
      </rPr>
      <t>AssetManagement@calhfa.ca.gov</t>
    </r>
    <r>
      <rPr>
        <sz val="12"/>
        <rFont val="Arial"/>
        <family val="2"/>
      </rPr>
      <t xml:space="preserve"> and "CC" your MultiFamily (MF) Asset Manager.
e.  Certification: complete this required area as described above.</t>
    </r>
  </si>
  <si>
    <r>
      <t xml:space="preserve">Operating Budget Certification: </t>
    </r>
    <r>
      <rPr>
        <sz val="11"/>
        <color rgb="FFC00000"/>
        <rFont val="Arial"/>
        <family val="2"/>
      </rPr>
      <t>By selecting the applicable Certifier Type and completing the remainder of this block, I certify that I am authorized to provide the information contained in the Checklist and Certification, Proposed Cash Flow, and Proposed Cost of Operations worksheets and it is accurate to the best of my knowledge.</t>
    </r>
  </si>
  <si>
    <r>
      <t xml:space="preserve">Annual Report Certification: </t>
    </r>
    <r>
      <rPr>
        <sz val="11"/>
        <color rgb="FFC00000"/>
        <rFont val="Arial"/>
        <family val="2"/>
      </rPr>
      <t>By selecting the applicable Certifier Type and completing the remainder of this block, I certify that I am authorized to provide the information contained in the Actual Cash Flow and Actual Cost of Operations worksheets as well as the Schedule of Rental Income (SRI), and it is accurate to the best of my knowledge.</t>
    </r>
  </si>
  <si>
    <t>5. SUBMITTAL INSTRUCTIONS -- Worksheets (tabs) 2, 3 and 4:</t>
  </si>
  <si>
    <t>6. INTERNAL AGENCY REVIEW AND APPROVAL -- Worksheets 173, 174 &amp; 175 (tabs 5, 6 and 7):</t>
  </si>
  <si>
    <t>7. INTERNAL HCD ONLY - ANNUAL REPORT - Worksheets 180 &amp; 181 (tabs 8 and 9):</t>
  </si>
  <si>
    <r>
      <t xml:space="preserve">1. Upon opening this workbook you may receive a banner that says, "PROTECTED VIEW: Be careful---files from the Internet can
    contain viruses. Unless you need to edit, it's safer to stay in Protected View." 
             * If you receive this banner, Click "Enable Editing".
2. Upon opening this workbook you will receive a banner that says, "SECURITY WARNING: Macros have been disabled." 
              * When you see this banner, Click "Enable Content".
    2A. When you see the dialog box asking, "Do you want to make this file a Trusted Document?" 
               * Click "Yes".
</t>
    </r>
    <r>
      <rPr>
        <sz val="12"/>
        <color rgb="FFC00000"/>
        <rFont val="Arial"/>
        <family val="2"/>
      </rPr>
      <t xml:space="preserve">3. Operating Revenue and Expense Accounts have been revised to conform to the latest HUD Chart of Accounts and Combined Audit 
    Handbook.
4. Miscellaneous revenues and expenses </t>
    </r>
    <r>
      <rPr>
        <u/>
        <sz val="12"/>
        <color rgb="FFC00000"/>
        <rFont val="Arial"/>
        <family val="2"/>
      </rPr>
      <t>must</t>
    </r>
    <r>
      <rPr>
        <sz val="12"/>
        <color rgb="FFC00000"/>
        <rFont val="Arial"/>
        <family val="2"/>
      </rPr>
      <t xml:space="preserve"> be itemized within the appropriate "Miscellaneous" section at the bottom of the worksheets
    on Tabs 3, 4, 8 and 9. Do not attach separate worksheets for itemizing Miscellaneous revenues and expenses.
5. On Tab 2, HCD/CalHFA-funded units are noted as Assisted, except for HCD MHP-type Projects, which will be referred to as Restricted.
    This will change the cell name in the upper right corner of Tab 2 and auto-populate column headings on Tabs 3, 4, 7, 8, and 9.  
    Assisted/Restricted units include managers units, but do not include Market-Rate units.</t>
    </r>
    <r>
      <rPr>
        <u/>
        <sz val="12"/>
        <color rgb="FFC00000"/>
        <rFont val="Arial"/>
        <family val="2"/>
      </rPr>
      <t xml:space="preserve">
</t>
    </r>
    <r>
      <rPr>
        <sz val="12"/>
        <color rgb="FFC00000"/>
        <rFont val="Arial"/>
        <family val="2"/>
      </rPr>
      <t xml:space="preserve">6. If Applicable for HCD funded developments only - The Form 180 and Form 181 worksheets (Tabs 8 and 9) are to be completed only if the 
    project is </t>
    </r>
    <r>
      <rPr>
        <u/>
        <sz val="12"/>
        <color rgb="FFC00000"/>
        <rFont val="Arial"/>
        <family val="2"/>
      </rPr>
      <t>not</t>
    </r>
    <r>
      <rPr>
        <sz val="12"/>
        <color rgb="FFC00000"/>
        <rFont val="Arial"/>
        <family val="2"/>
      </rPr>
      <t xml:space="preserve"> required to submit Audited Financial Statements.</t>
    </r>
  </si>
  <si>
    <r>
      <t xml:space="preserve">a.  </t>
    </r>
    <r>
      <rPr>
        <sz val="12"/>
        <color rgb="FFC00000"/>
        <rFont val="Arial"/>
        <family val="2"/>
      </rPr>
      <t xml:space="preserve">The Sponsor is required to complete all yellow-shaded fields on this Workbook. </t>
    </r>
    <r>
      <rPr>
        <sz val="12"/>
        <rFont val="Arial"/>
        <family val="2"/>
      </rPr>
      <t xml:space="preserve">Enter the amounts in appropriate yellow-shaded fields for
      Lines 1 through 13 in Columns A through C. Enter the Total Proposed Budget costs in Line 16 Column D (include amounts for all
      Residential and Commercial costs). If Project includes Commercial costs, enter the Total Proposed Commercial costs in Line 16 Column C.
      Column A (Proposed Assisted Units costs) and Column B (Proposed Non-Assisted Units costs) are auto-filled by the proration percentage, 
      using the difference between Column D less Column C and applying the proration percentage. To see a description of the expenses to be 
      included in the Account, hover your mouse over the corresponding Account Name field.
b.  </t>
    </r>
    <r>
      <rPr>
        <i/>
        <sz val="12"/>
        <rFont val="Arial"/>
        <family val="2"/>
      </rPr>
      <t>Line 8</t>
    </r>
    <r>
      <rPr>
        <sz val="12"/>
        <rFont val="Arial"/>
        <family val="2"/>
      </rPr>
      <t xml:space="preserve">, enter proposed Vacancy Percentage related to Apartments and Commercial costs (the Vacancy amount will auto calculate). 
c.  </t>
    </r>
    <r>
      <rPr>
        <i/>
        <sz val="12"/>
        <rFont val="Arial"/>
        <family val="2"/>
      </rPr>
      <t>Lines 11 through 13</t>
    </r>
    <r>
      <rPr>
        <sz val="12"/>
        <rFont val="Arial"/>
        <family val="2"/>
      </rPr>
      <t xml:space="preserve">, enter the Proposed Vacancy amount related to Stores and Commercial costs; Rental Concessions; Garage and
     Parking Spaces; and Miscellaneous Vacancies.
d.  </t>
    </r>
    <r>
      <rPr>
        <i/>
        <sz val="12"/>
        <rFont val="Arial"/>
        <family val="2"/>
      </rPr>
      <t>Line 25 Total Cost of Operations</t>
    </r>
    <r>
      <rPr>
        <sz val="12"/>
        <rFont val="Arial"/>
        <family val="2"/>
      </rPr>
      <t xml:space="preserve"> will auto-fill from Worksheet (tab) 3. Proposed Cost of Operations.
e.  </t>
    </r>
    <r>
      <rPr>
        <i/>
        <sz val="12"/>
        <rFont val="Arial"/>
        <family val="2"/>
      </rPr>
      <t xml:space="preserve">Lines 27 through 52 </t>
    </r>
    <r>
      <rPr>
        <sz val="12"/>
        <rFont val="Arial"/>
        <family val="2"/>
      </rPr>
      <t>(light yellow-shaded fields), enter any amounts applicable according to the Program(s) Regulations, Guidelines and/or 
     Regulatory Agreement for which you are submitting the Budget.</t>
    </r>
  </si>
  <si>
    <r>
      <rPr>
        <sz val="12"/>
        <rFont val="Arial"/>
        <family val="2"/>
      </rPr>
      <t xml:space="preserve">a.  </t>
    </r>
    <r>
      <rPr>
        <sz val="12"/>
        <color rgb="FFC00000"/>
        <rFont val="Arial"/>
        <family val="2"/>
      </rPr>
      <t>The Sponsor is required to complete all yellow-shaded fields on this Workbook.</t>
    </r>
    <r>
      <rPr>
        <sz val="12"/>
        <color rgb="FFFF0000"/>
        <rFont val="Arial"/>
        <family val="2"/>
      </rPr>
      <t xml:space="preserve"> </t>
    </r>
    <r>
      <rPr>
        <sz val="12"/>
        <rFont val="Arial"/>
        <family val="2"/>
      </rPr>
      <t xml:space="preserve">Enter the Total Proposed Budget amounts in Column A
     (include all Residential and Commercial costs). If Project includes Commercial costs, enter the total Proposed Commercial amounts in
     Column E. Column C (Proposed Assisted Units costs) and Column D (Proposed Non-Assisted Units costs) are auto-filled by the proration
     percentage, using the difference between Column A less Column C and applying the proration percentage. To see a description of the
     expenses to be included in the Account, hover your mouse over the Account Name field.
b.  </t>
    </r>
    <r>
      <rPr>
        <i/>
        <sz val="12"/>
        <rFont val="Arial"/>
        <family val="2"/>
      </rPr>
      <t>Line 8 Management Fees</t>
    </r>
    <r>
      <rPr>
        <sz val="12"/>
        <rFont val="Arial"/>
        <family val="2"/>
      </rPr>
      <t xml:space="preserve"> - must comply with HUDs allowed per unit per month amount.
c.  </t>
    </r>
    <r>
      <rPr>
        <i/>
        <sz val="12"/>
        <rFont val="Arial"/>
        <family val="2"/>
      </rPr>
      <t xml:space="preserve">Line 15 Miscellaneous Administrative Expenses - </t>
    </r>
    <r>
      <rPr>
        <sz val="12"/>
        <rFont val="Arial"/>
        <family val="2"/>
      </rPr>
      <t xml:space="preserve">itemize the information if expenses total more than $2,500 for this Account Code, in the 
     section labelled "Account 6390 Miscellaneous Administrative Expenses," and Misc Admin Expenses for Commercial space in Column E.
d.  </t>
    </r>
    <r>
      <rPr>
        <i/>
        <sz val="12"/>
        <rFont val="Arial"/>
        <family val="2"/>
      </rPr>
      <t>Line 47  Other Services Expenses</t>
    </r>
    <r>
      <rPr>
        <sz val="12"/>
        <rFont val="Arial"/>
        <family val="2"/>
      </rPr>
      <t xml:space="preserve"> - this Account is to record salary costs and benefits of the Service Coordinators. (Enter details in the
     section labelled "Account 6990 Other Supportive Services Costs" and the amounts will auto-populate Line 47.) If Project is regulated by 
     the 2017 HCD Uniform Multifamily Regulations, this Account is to record the Cost of Providing Tenants Service Coordination, Case
     Management, and Direct Resident and Supportive Services costs - see §8301 (t) and (u). For SUHRP and CHRP-R Programs: this Account
     is to record Tenant Care Expenses for Group and Nursing Homes, Assisted Living facilities, and Board and Care facilities.
e. </t>
    </r>
    <r>
      <rPr>
        <b/>
        <sz val="12"/>
        <rFont val="Arial"/>
        <family val="2"/>
      </rPr>
      <t xml:space="preserve"> </t>
    </r>
    <r>
      <rPr>
        <b/>
        <u/>
        <sz val="12"/>
        <rFont val="Arial"/>
        <family val="2"/>
      </rPr>
      <t>Important:</t>
    </r>
    <r>
      <rPr>
        <sz val="12"/>
        <rFont val="Arial"/>
        <family val="2"/>
      </rPr>
      <t xml:space="preserve"> Any costs anticipated to be capitalized should not be included in the Cost of Operations.</t>
    </r>
  </si>
  <si>
    <r>
      <t>Tab 2. Form 170</t>
    </r>
    <r>
      <rPr>
        <sz val="12"/>
        <rFont val="Arial"/>
        <family val="2"/>
      </rPr>
      <t xml:space="preserve"> - Checklist and Certification, with Submittal Instructions
</t>
    </r>
    <r>
      <rPr>
        <b/>
        <sz val="12"/>
        <rFont val="Arial"/>
        <family val="2"/>
      </rPr>
      <t>Tab 3.</t>
    </r>
    <r>
      <rPr>
        <sz val="12"/>
        <rFont val="Arial"/>
        <family val="2"/>
      </rPr>
      <t xml:space="preserve"> </t>
    </r>
    <r>
      <rPr>
        <b/>
        <sz val="12"/>
        <rFont val="Arial"/>
        <family val="2"/>
      </rPr>
      <t>Form 171</t>
    </r>
    <r>
      <rPr>
        <sz val="12"/>
        <rFont val="Arial"/>
        <family val="2"/>
      </rPr>
      <t xml:space="preserve"> - Proposed Cash Flow
</t>
    </r>
    <r>
      <rPr>
        <b/>
        <sz val="12"/>
        <rFont val="Arial"/>
        <family val="2"/>
      </rPr>
      <t>Tab 4.</t>
    </r>
    <r>
      <rPr>
        <sz val="12"/>
        <rFont val="Arial"/>
        <family val="2"/>
      </rPr>
      <t xml:space="preserve"> </t>
    </r>
    <r>
      <rPr>
        <b/>
        <sz val="12"/>
        <rFont val="Arial"/>
        <family val="2"/>
      </rPr>
      <t>Form 172</t>
    </r>
    <r>
      <rPr>
        <sz val="12"/>
        <rFont val="Arial"/>
        <family val="2"/>
      </rPr>
      <t xml:space="preserve"> - Proposed Cost of Operations</t>
    </r>
    <r>
      <rPr>
        <b/>
        <sz val="12"/>
        <rFont val="Arial"/>
        <family val="2"/>
      </rPr>
      <t xml:space="preserve">
</t>
    </r>
    <r>
      <rPr>
        <sz val="12"/>
        <rFont val="Arial"/>
        <family val="2"/>
      </rPr>
      <t xml:space="preserve">These worksheets are used for the Sponsor’s Proposed Operating Budget and are due </t>
    </r>
    <r>
      <rPr>
        <b/>
        <i/>
        <sz val="12"/>
        <rFont val="Arial"/>
        <family val="2"/>
      </rPr>
      <t xml:space="preserve">60 days </t>
    </r>
    <r>
      <rPr>
        <i/>
        <u/>
        <sz val="12"/>
        <rFont val="Arial"/>
        <family val="2"/>
      </rPr>
      <t>before</t>
    </r>
    <r>
      <rPr>
        <sz val="12"/>
        <rFont val="Arial"/>
        <family val="2"/>
      </rPr>
      <t xml:space="preserve"> the beginning of the Project’s Fiscal Year. </t>
    </r>
  </si>
  <si>
    <r>
      <rPr>
        <b/>
        <sz val="12"/>
        <rFont val="Arial"/>
        <family val="2"/>
      </rPr>
      <t>Tab 5. Form 173</t>
    </r>
    <r>
      <rPr>
        <sz val="12"/>
        <rFont val="Arial"/>
        <family val="2"/>
      </rPr>
      <t xml:space="preserve"> - Approved Cash Flow
</t>
    </r>
    <r>
      <rPr>
        <b/>
        <sz val="12"/>
        <rFont val="Arial"/>
        <family val="2"/>
      </rPr>
      <t>Tab 6.</t>
    </r>
    <r>
      <rPr>
        <sz val="12"/>
        <rFont val="Arial"/>
        <family val="2"/>
      </rPr>
      <t xml:space="preserve"> </t>
    </r>
    <r>
      <rPr>
        <b/>
        <sz val="12"/>
        <rFont val="Arial"/>
        <family val="2"/>
      </rPr>
      <t>Form 174</t>
    </r>
    <r>
      <rPr>
        <sz val="12"/>
        <rFont val="Arial"/>
        <family val="2"/>
      </rPr>
      <t xml:space="preserve"> - Approved Costs of Operations  
</t>
    </r>
    <r>
      <rPr>
        <b/>
        <sz val="12"/>
        <rFont val="Arial"/>
        <family val="2"/>
      </rPr>
      <t>Tab 7. Form 175</t>
    </r>
    <r>
      <rPr>
        <sz val="12"/>
        <rFont val="Arial"/>
        <family val="2"/>
      </rPr>
      <t xml:space="preserve"> - Approved Proration 
When approved, Agency's Representative will email the approved copy of the Project Operating Budget Workbook to the Sponsor.</t>
    </r>
  </si>
  <si>
    <r>
      <t xml:space="preserve">a.  The following Worksheets are for Agency use only:
     </t>
    </r>
    <r>
      <rPr>
        <b/>
        <sz val="12"/>
        <rFont val="Arial"/>
        <family val="2"/>
      </rPr>
      <t>Tab 5. Form 173 -</t>
    </r>
    <r>
      <rPr>
        <sz val="12"/>
        <rFont val="Arial"/>
        <family val="2"/>
      </rPr>
      <t xml:space="preserve">  Approved Cost of Operations 
    </t>
    </r>
    <r>
      <rPr>
        <b/>
        <sz val="12"/>
        <rFont val="Arial"/>
        <family val="2"/>
      </rPr>
      <t xml:space="preserve"> Tab 6. Form 174 -</t>
    </r>
    <r>
      <rPr>
        <sz val="12"/>
        <rFont val="Arial"/>
        <family val="2"/>
      </rPr>
      <t xml:space="preserve">  Approved Proration of Cost of Operations 
     </t>
    </r>
    <r>
      <rPr>
        <b/>
        <sz val="12"/>
        <rFont val="Arial"/>
        <family val="2"/>
      </rPr>
      <t xml:space="preserve">Tab 7. Form 175 - </t>
    </r>
    <r>
      <rPr>
        <sz val="12"/>
        <rFont val="Arial"/>
        <family val="2"/>
      </rPr>
      <t xml:space="preserve"> Approved Cash Flow Analysis
b.  Once the review and approval of these tabs are complete, the Representative/Asset Manager will complete the green-shaded cells in Tab
     2 – Form 170 (Checklist and Certification). They will then email the Excel Workbook, including any additional approvals or conditions, to the
     Management Agent, Borrower, or Sponsor for record-keeping.
c.  The 'Approved' data entered by the Representative/Asset Manager in Tabs 5, 6, and 7 will automatically populate Tabs 8 and 9. This
     approved data will be utilized at the end of the Project’s Fiscal Year for the Annual Report if the Project is not required to submit Audited 
     Financial Statements. 		</t>
    </r>
  </si>
  <si>
    <r>
      <t xml:space="preserve">a. Complete the following tabs within the Operating Budget Workbook:
     </t>
    </r>
    <r>
      <rPr>
        <b/>
        <sz val="12"/>
        <rFont val="Arial"/>
        <family val="2"/>
      </rPr>
      <t>Tab 2. Form 170 - Checklist and Certification</t>
    </r>
    <r>
      <rPr>
        <sz val="12"/>
        <rFont val="Arial"/>
        <family val="2"/>
      </rPr>
      <t xml:space="preserve">
     </t>
    </r>
    <r>
      <rPr>
        <b/>
        <sz val="12"/>
        <rFont val="Arial"/>
        <family val="2"/>
      </rPr>
      <t>Tab 3. Form 171 - Proposed Cash Flow</t>
    </r>
    <r>
      <rPr>
        <sz val="12"/>
        <rFont val="Arial"/>
        <family val="2"/>
      </rPr>
      <t xml:space="preserve">
     </t>
    </r>
    <r>
      <rPr>
        <b/>
        <sz val="12"/>
        <rFont val="Arial"/>
        <family val="2"/>
      </rPr>
      <t>Tab 4. Form 172 - Proposed Cost of Operations</t>
    </r>
    <r>
      <rPr>
        <sz val="12"/>
        <rFont val="Arial"/>
        <family val="2"/>
      </rPr>
      <t xml:space="preserve">
b. Save the </t>
    </r>
    <r>
      <rPr>
        <i/>
        <sz val="12"/>
        <rFont val="Arial"/>
        <family val="2"/>
      </rPr>
      <t>Operating Budget Workbook</t>
    </r>
    <r>
      <rPr>
        <sz val="12"/>
        <rFont val="Arial"/>
        <family val="2"/>
      </rPr>
      <t xml:space="preserve"> file for your records.
c. Obtain approval from the Borrower or the Authorized Representative(s) and fill in the Certification area(s) on Worksheet/Tab 2.
d. Email the fully completed Operating Budget Workbook in Excel format (not PDF) to 'The Box (Insert Link)' for combined HCD/CalHFA
    developments. CalHFA only funded devleopments, submit to</t>
    </r>
    <r>
      <rPr>
        <sz val="12"/>
        <color rgb="FF0000FF"/>
        <rFont val="Arial"/>
        <family val="2"/>
      </rPr>
      <t xml:space="preserve"> AssetManagement@calhfa.ca.gov</t>
    </r>
    <r>
      <rPr>
        <sz val="12"/>
        <rFont val="Arial"/>
        <family val="2"/>
      </rPr>
      <t xml:space="preserve"> and "CC" your MultiFamily (MF) Asset
    Manager. For HCD only funded developments, submit to </t>
    </r>
    <r>
      <rPr>
        <sz val="12"/>
        <color rgb="FF0000FF"/>
        <rFont val="Arial"/>
        <family val="2"/>
      </rPr>
      <t>AMCBranch@hcd.ca.gov</t>
    </r>
    <r>
      <rPr>
        <sz val="12"/>
        <rFont val="Arial"/>
        <family val="2"/>
      </rPr>
      <t xml:space="preserve"> and "CC" your AMC Representative.
</t>
    </r>
  </si>
  <si>
    <t>1. Combined Operating Budget Instructions</t>
  </si>
  <si>
    <t>Combined Operating Budget Checklist and Certification</t>
  </si>
  <si>
    <r>
      <rPr>
        <b/>
        <sz val="12"/>
        <rFont val="Arial"/>
        <family val="2"/>
      </rPr>
      <t xml:space="preserve">Tab 8. Form 180 </t>
    </r>
    <r>
      <rPr>
        <sz val="12"/>
        <rFont val="Arial"/>
        <family val="2"/>
      </rPr>
      <t xml:space="preserve">- Actual Cash Flow </t>
    </r>
    <r>
      <rPr>
        <b/>
        <sz val="12"/>
        <rFont val="Arial"/>
        <family val="2"/>
      </rPr>
      <t xml:space="preserve">
Tab 9.</t>
    </r>
    <r>
      <rPr>
        <sz val="12"/>
        <rFont val="Arial"/>
        <family val="2"/>
      </rPr>
      <t xml:space="preserve"> </t>
    </r>
    <r>
      <rPr>
        <b/>
        <sz val="12"/>
        <rFont val="Arial"/>
        <family val="2"/>
      </rPr>
      <t>Form 181</t>
    </r>
    <r>
      <rPr>
        <sz val="12"/>
        <rFont val="Arial"/>
        <family val="2"/>
      </rPr>
      <t xml:space="preserve"> - Actual Operating Costs 
</t>
    </r>
    <r>
      <rPr>
        <sz val="12"/>
        <color indexed="10"/>
        <rFont val="Arial"/>
        <family val="2"/>
      </rPr>
      <t xml:space="preserve"> </t>
    </r>
    <r>
      <rPr>
        <sz val="12"/>
        <color rgb="FFC00000"/>
        <rFont val="Arial"/>
        <family val="2"/>
      </rPr>
      <t xml:space="preserve">These worksheets are to be completed only if the Project is </t>
    </r>
    <r>
      <rPr>
        <u/>
        <sz val="12"/>
        <color rgb="FFC00000"/>
        <rFont val="Arial"/>
        <family val="2"/>
      </rPr>
      <t>not</t>
    </r>
    <r>
      <rPr>
        <sz val="12"/>
        <color rgb="FFC00000"/>
        <rFont val="Arial"/>
        <family val="2"/>
      </rPr>
      <t xml:space="preserve"> required to submit Audited Financial Statements; or if the Project </t>
    </r>
    <r>
      <rPr>
        <u/>
        <sz val="12"/>
        <color rgb="FFC00000"/>
        <rFont val="Arial"/>
        <family val="2"/>
      </rPr>
      <t>is</t>
    </r>
    <r>
      <rPr>
        <sz val="12"/>
        <color rgb="FFC00000"/>
        <rFont val="Arial"/>
        <family val="2"/>
      </rPr>
      <t xml:space="preserve"> required
 to submit Audited Financial Statements, but the submitted Audit does not include the supplemental information described in the most recent
 Financial Statement Audit Handbook. The Annual Report Package is due to the Department 90 days after the end of the Fiscal Year. Please
 refer to  the Department's website for additional forms, requirements, and instructions, at the following link:</t>
    </r>
  </si>
  <si>
    <t>Tab 170 - Checklist and Certification</t>
  </si>
  <si>
    <t>Tab 171 - Proposed Cash Flow</t>
  </si>
  <si>
    <t>Tab 172 - Proposed Cost of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</si>
</sst>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3" formatCode="_(* #,##0.00_);_(* \(#,##0.00\);_(* &quot;-&quot;??_);_(@_)"/>
    <numFmt numFmtId="164" formatCode="mm/dd/yyyy"/>
    <numFmt numFmtId="165" formatCode="m/d/yy;@"/>
    <numFmt numFmtId="166" formatCode="[&lt;=9999999]###\-####;\(###\)\ ###\-####"/>
    <numFmt numFmtId="167" formatCode="0.0%"/>
  </numFmts>
  <fonts count="51" x14ac:knownFonts="1">
    <font>
      <sz val="10"/>
      <name val="Arial"/>
    </font>
    <font>
      <sz val="10"/>
      <name val="Arial"/>
      <family val="2"/>
    </font>
    <font>
      <u/>
      <sz val="10"/>
      <color indexed="12"/>
      <name val="Arial"/>
      <family val="2"/>
    </font>
    <font>
      <sz val="10"/>
      <name val="Arial"/>
      <family val="2"/>
    </font>
    <font>
      <b/>
      <sz val="12"/>
      <name val="Arial"/>
      <family val="2"/>
    </font>
    <font>
      <b/>
      <sz val="10"/>
      <name val="Arial"/>
      <family val="2"/>
    </font>
    <font>
      <sz val="10"/>
      <color indexed="56"/>
      <name val="Arial"/>
      <family val="2"/>
    </font>
    <font>
      <sz val="10"/>
      <color indexed="12"/>
      <name val="Arial"/>
      <family val="2"/>
    </font>
    <font>
      <b/>
      <sz val="9"/>
      <name val="Arial"/>
      <family val="2"/>
    </font>
    <font>
      <b/>
      <i/>
      <sz val="10"/>
      <name val="Arial"/>
      <family val="2"/>
    </font>
    <font>
      <i/>
      <sz val="10"/>
      <name val="Arial"/>
      <family val="2"/>
    </font>
    <font>
      <i/>
      <sz val="8"/>
      <name val="Arial"/>
      <family val="2"/>
    </font>
    <font>
      <sz val="8"/>
      <name val="Arial"/>
      <family val="2"/>
    </font>
    <font>
      <sz val="10"/>
      <color indexed="81"/>
      <name val="Tahoma"/>
      <family val="2"/>
    </font>
    <font>
      <sz val="8"/>
      <color indexed="81"/>
      <name val="Tahoma"/>
      <family val="2"/>
    </font>
    <font>
      <sz val="9"/>
      <name val="Arial"/>
      <family val="2"/>
    </font>
    <font>
      <sz val="9"/>
      <color indexed="56"/>
      <name val="Arial"/>
      <family val="2"/>
    </font>
    <font>
      <i/>
      <sz val="9"/>
      <name val="Arial"/>
      <family val="2"/>
    </font>
    <font>
      <sz val="12"/>
      <name val="Arial"/>
      <family val="2"/>
    </font>
    <font>
      <b/>
      <u/>
      <sz val="12"/>
      <name val="Arial"/>
      <family val="2"/>
    </font>
    <font>
      <b/>
      <sz val="9"/>
      <color indexed="81"/>
      <name val="Tahoma"/>
      <family val="2"/>
    </font>
    <font>
      <sz val="9"/>
      <color indexed="81"/>
      <name val="Tahoma"/>
      <family val="2"/>
    </font>
    <font>
      <u/>
      <sz val="10"/>
      <color indexed="81"/>
      <name val="Tahoma"/>
      <family val="2"/>
    </font>
    <font>
      <b/>
      <sz val="11"/>
      <name val="Arial"/>
      <family val="2"/>
    </font>
    <font>
      <sz val="11"/>
      <name val="Arial"/>
      <family val="2"/>
    </font>
    <font>
      <b/>
      <sz val="10"/>
      <color indexed="81"/>
      <name val="Tahoma"/>
      <family val="2"/>
    </font>
    <font>
      <b/>
      <i/>
      <sz val="12"/>
      <name val="Arial"/>
      <family val="2"/>
    </font>
    <font>
      <b/>
      <i/>
      <sz val="9"/>
      <name val="Arial"/>
      <family val="2"/>
    </font>
    <font>
      <sz val="12"/>
      <color indexed="10"/>
      <name val="Arial"/>
      <family val="2"/>
    </font>
    <font>
      <b/>
      <i/>
      <sz val="10"/>
      <color indexed="81"/>
      <name val="Tahoma"/>
      <family val="2"/>
    </font>
    <font>
      <sz val="7"/>
      <name val="Arial"/>
      <family val="2"/>
    </font>
    <font>
      <b/>
      <sz val="8"/>
      <name val="Arial"/>
      <family val="2"/>
    </font>
    <font>
      <b/>
      <u/>
      <sz val="12"/>
      <color indexed="12"/>
      <name val="Arial"/>
      <family val="2"/>
    </font>
    <font>
      <sz val="11"/>
      <color theme="1"/>
      <name val="Calibri"/>
      <family val="2"/>
      <scheme val="minor"/>
    </font>
    <font>
      <b/>
      <sz val="9"/>
      <color rgb="FFFF0000"/>
      <name val="Arial"/>
      <family val="2"/>
    </font>
    <font>
      <sz val="12"/>
      <color rgb="FFFF0000"/>
      <name val="Arial"/>
      <family val="2"/>
    </font>
    <font>
      <sz val="10"/>
      <color rgb="FF0000CC"/>
      <name val="Arial"/>
      <family val="2"/>
    </font>
    <font>
      <b/>
      <u/>
      <sz val="14"/>
      <name val="Arial"/>
      <family val="2"/>
    </font>
    <font>
      <i/>
      <sz val="12"/>
      <name val="Arial"/>
      <family val="2"/>
    </font>
    <font>
      <i/>
      <u/>
      <sz val="12"/>
      <name val="Arial"/>
      <family val="2"/>
    </font>
    <font>
      <b/>
      <sz val="12"/>
      <color rgb="FFC00000"/>
      <name val="Arial"/>
      <family val="2"/>
    </font>
    <font>
      <sz val="12"/>
      <color rgb="FFC00000"/>
      <name val="Arial"/>
      <family val="2"/>
    </font>
    <font>
      <u/>
      <sz val="12"/>
      <color rgb="FFC00000"/>
      <name val="Arial"/>
      <family val="2"/>
    </font>
    <font>
      <i/>
      <sz val="9"/>
      <color rgb="FFC00000"/>
      <name val="Arial"/>
      <family val="2"/>
    </font>
    <font>
      <sz val="11"/>
      <color rgb="FFC00000"/>
      <name val="Arial"/>
      <family val="2"/>
    </font>
    <font>
      <i/>
      <sz val="10"/>
      <color rgb="FFC00000"/>
      <name val="Arial"/>
      <family val="2"/>
    </font>
    <font>
      <sz val="10"/>
      <color rgb="FFC00000"/>
      <name val="Arial"/>
      <family val="2"/>
    </font>
    <font>
      <b/>
      <i/>
      <sz val="11"/>
      <color rgb="FFC00000"/>
      <name val="Arial"/>
      <family val="2"/>
    </font>
    <font>
      <b/>
      <sz val="9"/>
      <color indexed="10"/>
      <name val="Tahoma"/>
      <family val="2"/>
    </font>
    <font>
      <sz val="12"/>
      <color rgb="FF0000FF"/>
      <name val="Arial"/>
      <family val="2"/>
    </font>
    <font>
      <sz val="14"/>
      <name val="Arial"/>
      <family val="2"/>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CC"/>
        <bgColor indexed="64"/>
      </patternFill>
    </fill>
    <fill>
      <patternFill patternType="solid">
        <fgColor rgb="FFC5FFC5"/>
        <bgColor indexed="64"/>
      </patternFill>
    </fill>
    <fill>
      <patternFill patternType="solid">
        <fgColor rgb="FFCCECFF"/>
        <bgColor indexed="64"/>
      </patternFill>
    </fill>
    <fill>
      <patternFill patternType="solid">
        <fgColor rgb="FF99FF99"/>
        <bgColor indexed="64"/>
      </patternFill>
    </fill>
    <fill>
      <patternFill patternType="solid">
        <fgColor rgb="FFC5F1C5"/>
        <bgColor indexed="64"/>
      </patternFill>
    </fill>
    <fill>
      <patternFill patternType="solid">
        <fgColor theme="0"/>
        <bgColor indexed="64"/>
      </patternFill>
    </fill>
    <fill>
      <patternFill patternType="solid">
        <fgColor rgb="FFFFFF99"/>
        <bgColor indexed="64"/>
      </patternFill>
    </fill>
    <fill>
      <patternFill patternType="solid">
        <fgColor rgb="FFEBF6F9"/>
        <bgColor indexed="64"/>
      </patternFill>
    </fill>
    <fill>
      <patternFill patternType="solid">
        <fgColor theme="9" tint="0.59999389629810485"/>
        <bgColor indexed="64"/>
      </patternFill>
    </fill>
  </fills>
  <borders count="96">
    <border>
      <left/>
      <right/>
      <top/>
      <bottom/>
      <diagonal/>
    </border>
    <border>
      <left/>
      <right/>
      <top/>
      <bottom style="double">
        <color indexed="64"/>
      </bottom>
      <diagonal/>
    </border>
    <border>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33" fillId="0" borderId="0"/>
    <xf numFmtId="9" fontId="1" fillId="0" borderId="0" applyFont="0" applyFill="0" applyBorder="0" applyAlignment="0" applyProtection="0"/>
  </cellStyleXfs>
  <cellXfs count="960">
    <xf numFmtId="0" fontId="0" fillId="0" borderId="0" xfId="0"/>
    <xf numFmtId="0" fontId="3" fillId="0" borderId="0" xfId="0" applyFont="1"/>
    <xf numFmtId="0" fontId="5" fillId="0" borderId="0" xfId="0" applyFont="1" applyAlignment="1">
      <alignment horizontal="right"/>
    </xf>
    <xf numFmtId="0" fontId="0" fillId="0" borderId="0" xfId="0" applyProtection="1">
      <protection locked="0"/>
    </xf>
    <xf numFmtId="0" fontId="1" fillId="0" borderId="0" xfId="4"/>
    <xf numFmtId="0" fontId="1" fillId="0" borderId="0" xfId="4" applyAlignment="1">
      <alignment horizontal="center"/>
    </xf>
    <xf numFmtId="0" fontId="1" fillId="0" borderId="2" xfId="4" applyBorder="1" applyAlignment="1">
      <alignment horizontal="left" vertical="center"/>
    </xf>
    <xf numFmtId="38" fontId="5" fillId="0" borderId="3" xfId="4" applyNumberFormat="1" applyFont="1" applyBorder="1" applyAlignment="1">
      <alignment vertical="center"/>
    </xf>
    <xf numFmtId="38" fontId="5" fillId="0" borderId="4" xfId="4" applyNumberFormat="1" applyFont="1" applyBorder="1" applyAlignment="1">
      <alignment vertical="center" shrinkToFit="1"/>
    </xf>
    <xf numFmtId="38" fontId="5" fillId="0" borderId="5" xfId="4" applyNumberFormat="1" applyFont="1" applyBorder="1" applyAlignment="1">
      <alignment vertical="center"/>
    </xf>
    <xf numFmtId="38" fontId="5" fillId="0" borderId="5" xfId="4" applyNumberFormat="1" applyFont="1" applyBorder="1" applyAlignment="1">
      <alignment vertical="center" shrinkToFit="1"/>
    </xf>
    <xf numFmtId="38" fontId="5" fillId="0" borderId="4" xfId="4" applyNumberFormat="1" applyFont="1" applyBorder="1" applyAlignment="1">
      <alignment vertical="center"/>
    </xf>
    <xf numFmtId="0" fontId="1" fillId="0" borderId="0" xfId="4" applyAlignment="1">
      <alignment horizontal="left" vertical="center"/>
    </xf>
    <xf numFmtId="38" fontId="1" fillId="0" borderId="5" xfId="4" applyNumberFormat="1" applyBorder="1" applyAlignment="1">
      <alignment vertical="center"/>
    </xf>
    <xf numFmtId="38" fontId="5" fillId="0" borderId="3" xfId="4" applyNumberFormat="1" applyFont="1" applyBorder="1" applyAlignment="1">
      <alignment vertical="center" shrinkToFit="1"/>
    </xf>
    <xf numFmtId="0" fontId="15" fillId="0" borderId="0" xfId="4" applyFont="1"/>
    <xf numFmtId="3" fontId="1" fillId="0" borderId="0" xfId="4" applyNumberFormat="1"/>
    <xf numFmtId="0" fontId="5" fillId="0" borderId="0" xfId="4" applyFont="1" applyAlignment="1">
      <alignment horizontal="right" vertical="center"/>
    </xf>
    <xf numFmtId="38" fontId="1" fillId="0" borderId="6" xfId="4" applyNumberFormat="1" applyBorder="1" applyAlignment="1">
      <alignment vertical="center"/>
    </xf>
    <xf numFmtId="40" fontId="1" fillId="0" borderId="6" xfId="4" applyNumberFormat="1" applyBorder="1" applyAlignment="1">
      <alignment vertical="center"/>
    </xf>
    <xf numFmtId="0" fontId="1" fillId="0" borderId="7" xfId="4" applyBorder="1" applyAlignment="1">
      <alignment horizontal="center" vertical="center"/>
    </xf>
    <xf numFmtId="38" fontId="5" fillId="0" borderId="6" xfId="4" applyNumberFormat="1" applyFont="1" applyBorder="1" applyAlignment="1">
      <alignment vertical="center"/>
    </xf>
    <xf numFmtId="0" fontId="1" fillId="0" borderId="0" xfId="0" applyFont="1"/>
    <xf numFmtId="0" fontId="1" fillId="0" borderId="0" xfId="0" applyFont="1" applyAlignment="1">
      <alignment horizontal="right"/>
    </xf>
    <xf numFmtId="0" fontId="1" fillId="0" borderId="0" xfId="0" applyFont="1" applyAlignment="1">
      <alignment horizontal="center"/>
    </xf>
    <xf numFmtId="0" fontId="1" fillId="0" borderId="6" xfId="0" applyFont="1" applyBorder="1" applyAlignment="1">
      <alignment vertical="center"/>
    </xf>
    <xf numFmtId="0" fontId="1" fillId="0" borderId="8" xfId="0" applyFont="1" applyBorder="1" applyAlignment="1">
      <alignment vertical="center"/>
    </xf>
    <xf numFmtId="0" fontId="1" fillId="0" borderId="0" xfId="0" applyFont="1" applyAlignment="1">
      <alignment vertical="center"/>
    </xf>
    <xf numFmtId="38" fontId="1" fillId="0" borderId="5" xfId="0" applyNumberFormat="1" applyFont="1" applyBorder="1" applyAlignment="1">
      <alignment vertical="center"/>
    </xf>
    <xf numFmtId="38" fontId="1" fillId="0" borderId="9" xfId="0" applyNumberFormat="1" applyFont="1" applyBorder="1" applyAlignment="1">
      <alignment vertical="center"/>
    </xf>
    <xf numFmtId="0" fontId="1" fillId="0" borderId="5" xfId="0" applyFont="1" applyBorder="1" applyAlignment="1">
      <alignment vertical="center"/>
    </xf>
    <xf numFmtId="38" fontId="5" fillId="0" borderId="10" xfId="0" applyNumberFormat="1" applyFont="1" applyBorder="1" applyAlignment="1">
      <alignment vertical="center"/>
    </xf>
    <xf numFmtId="0" fontId="1" fillId="0" borderId="0" xfId="0" applyFont="1" applyAlignment="1">
      <alignment horizontal="center" vertical="center"/>
    </xf>
    <xf numFmtId="0" fontId="1" fillId="0" borderId="6" xfId="0" applyFont="1" applyBorder="1" applyAlignment="1">
      <alignment horizontal="centerContinuous" vertical="center"/>
    </xf>
    <xf numFmtId="38" fontId="5" fillId="0" borderId="10" xfId="1" applyNumberFormat="1" applyFont="1" applyBorder="1" applyAlignment="1" applyProtection="1">
      <alignment vertical="center"/>
    </xf>
    <xf numFmtId="0" fontId="1" fillId="0" borderId="11" xfId="0" applyFont="1" applyBorder="1" applyAlignment="1">
      <alignment vertical="center"/>
    </xf>
    <xf numFmtId="0" fontId="1" fillId="0" borderId="12" xfId="0" applyFont="1" applyBorder="1" applyAlignment="1">
      <alignment vertical="center"/>
    </xf>
    <xf numFmtId="38" fontId="5" fillId="0" borderId="4" xfId="0" applyNumberFormat="1" applyFont="1" applyBorder="1" applyAlignment="1">
      <alignment vertical="center"/>
    </xf>
    <xf numFmtId="38" fontId="5" fillId="0" borderId="3" xfId="0" applyNumberFormat="1" applyFont="1" applyBorder="1" applyAlignment="1">
      <alignment vertical="center"/>
    </xf>
    <xf numFmtId="38" fontId="5" fillId="0" borderId="13" xfId="0" applyNumberFormat="1" applyFont="1" applyBorder="1" applyAlignment="1">
      <alignment vertical="center"/>
    </xf>
    <xf numFmtId="38" fontId="5" fillId="0" borderId="14" xfId="0" applyNumberFormat="1" applyFont="1" applyBorder="1" applyAlignment="1">
      <alignment vertical="center"/>
    </xf>
    <xf numFmtId="38" fontId="5" fillId="0" borderId="15" xfId="0" applyNumberFormat="1" applyFont="1" applyBorder="1" applyAlignment="1">
      <alignment vertical="center"/>
    </xf>
    <xf numFmtId="38" fontId="5" fillId="0" borderId="5" xfId="0" applyNumberFormat="1" applyFont="1" applyBorder="1" applyAlignment="1">
      <alignment vertical="center"/>
    </xf>
    <xf numFmtId="38" fontId="1" fillId="0" borderId="16" xfId="0" applyNumberFormat="1" applyFont="1" applyBorder="1" applyAlignment="1">
      <alignment vertical="center"/>
    </xf>
    <xf numFmtId="38" fontId="1" fillId="0" borderId="17" xfId="0" applyNumberFormat="1" applyFont="1" applyBorder="1" applyAlignment="1">
      <alignment vertical="center"/>
    </xf>
    <xf numFmtId="38" fontId="5" fillId="0" borderId="10" xfId="1" applyNumberFormat="1" applyFont="1" applyFill="1" applyBorder="1" applyAlignment="1" applyProtection="1">
      <alignment vertical="center"/>
    </xf>
    <xf numFmtId="38" fontId="5" fillId="0" borderId="18" xfId="0" applyNumberFormat="1" applyFont="1" applyBorder="1" applyAlignment="1">
      <alignment vertical="center"/>
    </xf>
    <xf numFmtId="38" fontId="1" fillId="0" borderId="9" xfId="1" applyNumberFormat="1" applyFont="1" applyFill="1" applyBorder="1" applyAlignment="1" applyProtection="1">
      <alignment vertical="center"/>
    </xf>
    <xf numFmtId="10" fontId="1" fillId="0" borderId="0" xfId="0" applyNumberFormat="1" applyFont="1" applyAlignment="1">
      <alignment horizontal="center" vertical="center"/>
    </xf>
    <xf numFmtId="164" fontId="1" fillId="0" borderId="0" xfId="0" applyNumberFormat="1" applyFont="1" applyAlignment="1">
      <alignment horizontal="center"/>
    </xf>
    <xf numFmtId="0" fontId="1" fillId="0" borderId="0" xfId="0" applyFont="1" applyAlignment="1">
      <alignment horizontal="left" vertical="top"/>
    </xf>
    <xf numFmtId="0" fontId="5" fillId="0" borderId="19" xfId="4" applyFont="1" applyBorder="1" applyAlignment="1">
      <alignment horizontal="left" vertical="center"/>
    </xf>
    <xf numFmtId="0" fontId="5" fillId="0" borderId="8" xfId="4" applyFont="1" applyBorder="1" applyAlignment="1">
      <alignment horizontal="left" vertical="center"/>
    </xf>
    <xf numFmtId="0" fontId="5" fillId="0" borderId="20" xfId="4" applyFont="1" applyBorder="1" applyAlignment="1">
      <alignment horizontal="center" vertical="center"/>
    </xf>
    <xf numFmtId="0" fontId="5" fillId="0" borderId="15" xfId="4" applyFont="1" applyBorder="1" applyAlignment="1">
      <alignment horizontal="center" vertical="center"/>
    </xf>
    <xf numFmtId="0" fontId="5" fillId="0" borderId="15" xfId="4" applyFont="1" applyBorder="1" applyAlignment="1">
      <alignment horizontal="center" vertical="center" shrinkToFit="1"/>
    </xf>
    <xf numFmtId="0" fontId="1" fillId="0" borderId="15" xfId="4" applyBorder="1" applyAlignment="1">
      <alignment horizontal="center" vertical="center" shrinkToFit="1"/>
    </xf>
    <xf numFmtId="38" fontId="5" fillId="0" borderId="21" xfId="4" applyNumberFormat="1" applyFont="1" applyBorder="1" applyAlignment="1">
      <alignment vertical="center"/>
    </xf>
    <xf numFmtId="164" fontId="1" fillId="0" borderId="0" xfId="0" applyNumberFormat="1" applyFont="1" applyAlignment="1">
      <alignment horizontal="center" vertical="center"/>
    </xf>
    <xf numFmtId="164" fontId="1" fillId="0" borderId="0" xfId="0" applyNumberFormat="1" applyFont="1"/>
    <xf numFmtId="0" fontId="0" fillId="0" borderId="0" xfId="0" applyAlignment="1">
      <alignment vertical="center"/>
    </xf>
    <xf numFmtId="38" fontId="1" fillId="0" borderId="12" xfId="1" applyNumberFormat="1" applyFont="1" applyBorder="1" applyAlignment="1" applyProtection="1">
      <alignment vertical="center"/>
    </xf>
    <xf numFmtId="0" fontId="1" fillId="0" borderId="7" xfId="4" quotePrefix="1" applyBorder="1" applyAlignment="1">
      <alignment horizontal="center" vertical="center"/>
    </xf>
    <xf numFmtId="0" fontId="5" fillId="0" borderId="7" xfId="4" applyFont="1" applyBorder="1" applyAlignment="1">
      <alignment horizontal="center" vertical="center"/>
    </xf>
    <xf numFmtId="38" fontId="1" fillId="0" borderId="8" xfId="1" applyNumberFormat="1" applyFont="1" applyBorder="1" applyAlignment="1" applyProtection="1">
      <alignment vertical="center"/>
    </xf>
    <xf numFmtId="0" fontId="1" fillId="0" borderId="18" xfId="4" applyBorder="1" applyAlignment="1">
      <alignment horizontal="center" vertical="center"/>
    </xf>
    <xf numFmtId="38" fontId="1" fillId="0" borderId="8" xfId="1" applyNumberFormat="1" applyFont="1" applyFill="1" applyBorder="1" applyAlignment="1" applyProtection="1">
      <alignment vertical="center"/>
    </xf>
    <xf numFmtId="38" fontId="5" fillId="0" borderId="22" xfId="1" quotePrefix="1" applyNumberFormat="1" applyFont="1" applyBorder="1" applyAlignment="1" applyProtection="1">
      <alignment horizontal="right" vertical="center"/>
    </xf>
    <xf numFmtId="38" fontId="5" fillId="0" borderId="13" xfId="1" applyNumberFormat="1" applyFont="1" applyBorder="1" applyAlignment="1" applyProtection="1">
      <alignment vertical="center"/>
    </xf>
    <xf numFmtId="38" fontId="5" fillId="0" borderId="3" xfId="0" quotePrefix="1" applyNumberFormat="1" applyFont="1" applyBorder="1" applyAlignment="1">
      <alignment horizontal="right" vertical="center"/>
    </xf>
    <xf numFmtId="38" fontId="5" fillId="0" borderId="20" xfId="0" applyNumberFormat="1" applyFont="1" applyBorder="1" applyAlignment="1">
      <alignment horizontal="right" vertical="center"/>
    </xf>
    <xf numFmtId="10" fontId="5" fillId="0" borderId="2" xfId="0" applyNumberFormat="1" applyFont="1" applyBorder="1" applyAlignment="1">
      <alignment horizontal="center" vertical="center"/>
    </xf>
    <xf numFmtId="10" fontId="5" fillId="0" borderId="23" xfId="0" applyNumberFormat="1" applyFont="1" applyBorder="1" applyAlignment="1">
      <alignment horizontal="center" vertical="center"/>
    </xf>
    <xf numFmtId="10" fontId="5" fillId="0" borderId="24" xfId="0" applyNumberFormat="1" applyFont="1" applyBorder="1" applyAlignment="1">
      <alignment horizontal="center" vertical="center"/>
    </xf>
    <xf numFmtId="38" fontId="5" fillId="0" borderId="14" xfId="1" applyNumberFormat="1" applyFont="1" applyFill="1" applyBorder="1" applyAlignment="1" applyProtection="1">
      <alignment vertical="center"/>
    </xf>
    <xf numFmtId="38" fontId="1" fillId="0" borderId="17" xfId="1" applyNumberFormat="1" applyFont="1" applyFill="1" applyBorder="1" applyAlignment="1" applyProtection="1">
      <alignment vertical="center"/>
    </xf>
    <xf numFmtId="3" fontId="1" fillId="0" borderId="0" xfId="4" applyNumberFormat="1" applyAlignment="1">
      <alignment horizontal="center" vertical="center"/>
    </xf>
    <xf numFmtId="0" fontId="5" fillId="0" borderId="0" xfId="0" applyFont="1" applyAlignment="1">
      <alignment horizontal="right" vertical="center"/>
    </xf>
    <xf numFmtId="10" fontId="1" fillId="0" borderId="7" xfId="1" applyNumberFormat="1" applyFont="1" applyFill="1" applyBorder="1" applyAlignment="1" applyProtection="1">
      <alignment horizontal="center" vertical="center"/>
    </xf>
    <xf numFmtId="10" fontId="1" fillId="0" borderId="20" xfId="1" applyNumberFormat="1" applyFont="1" applyFill="1" applyBorder="1" applyAlignment="1" applyProtection="1">
      <alignment horizontal="center" vertical="center"/>
    </xf>
    <xf numFmtId="10" fontId="5" fillId="0" borderId="20" xfId="1" applyNumberFormat="1" applyFont="1" applyFill="1" applyBorder="1" applyAlignment="1" applyProtection="1">
      <alignment horizontal="center" vertical="center"/>
    </xf>
    <xf numFmtId="0" fontId="3" fillId="0" borderId="0" xfId="0" applyFont="1" applyAlignment="1">
      <alignment horizontal="center" vertical="center"/>
    </xf>
    <xf numFmtId="0" fontId="1" fillId="0" borderId="25" xfId="1" applyNumberFormat="1" applyFont="1" applyFill="1" applyBorder="1" applyAlignment="1" applyProtection="1">
      <alignment horizontal="center" vertical="center"/>
    </xf>
    <xf numFmtId="0" fontId="1" fillId="0" borderId="7" xfId="1" applyNumberFormat="1" applyFont="1" applyFill="1" applyBorder="1" applyAlignment="1" applyProtection="1">
      <alignment horizontal="center" vertical="center"/>
    </xf>
    <xf numFmtId="38" fontId="5" fillId="0" borderId="22" xfId="1" applyNumberFormat="1" applyFont="1" applyFill="1" applyBorder="1" applyAlignment="1" applyProtection="1">
      <alignment vertical="center"/>
    </xf>
    <xf numFmtId="0" fontId="0" fillId="0" borderId="0" xfId="0" applyAlignment="1">
      <alignment horizontal="center" vertical="center"/>
    </xf>
    <xf numFmtId="0" fontId="0" fillId="0" borderId="0" xfId="0" applyAlignment="1">
      <alignment horizontal="left"/>
    </xf>
    <xf numFmtId="38" fontId="5" fillId="0" borderId="20" xfId="0" applyNumberFormat="1" applyFont="1" applyBorder="1" applyAlignment="1">
      <alignment vertical="center"/>
    </xf>
    <xf numFmtId="0" fontId="1" fillId="0" borderId="7" xfId="0" applyFont="1" applyBorder="1" applyAlignment="1">
      <alignment vertical="center"/>
    </xf>
    <xf numFmtId="38" fontId="1" fillId="0" borderId="7" xfId="0" applyNumberFormat="1" applyFont="1" applyBorder="1" applyAlignment="1">
      <alignment vertical="center"/>
    </xf>
    <xf numFmtId="38" fontId="1" fillId="0" borderId="7" xfId="1" applyNumberFormat="1" applyFont="1" applyFill="1" applyBorder="1" applyAlignment="1" applyProtection="1">
      <alignment vertical="center"/>
    </xf>
    <xf numFmtId="38" fontId="5" fillId="0" borderId="20" xfId="1" applyNumberFormat="1" applyFont="1" applyFill="1" applyBorder="1" applyAlignment="1" applyProtection="1">
      <alignment vertical="center"/>
    </xf>
    <xf numFmtId="10" fontId="1" fillId="0" borderId="5" xfId="0" applyNumberFormat="1" applyFont="1" applyBorder="1" applyAlignment="1">
      <alignment vertical="center"/>
    </xf>
    <xf numFmtId="10" fontId="1" fillId="0" borderId="17" xfId="0" applyNumberFormat="1" applyFont="1" applyBorder="1" applyAlignment="1">
      <alignment vertical="center"/>
    </xf>
    <xf numFmtId="10" fontId="1" fillId="0" borderId="5" xfId="4" applyNumberFormat="1" applyBorder="1" applyAlignment="1">
      <alignment vertical="center"/>
    </xf>
    <xf numFmtId="38" fontId="5" fillId="0" borderId="20" xfId="1" applyNumberFormat="1" applyFont="1" applyBorder="1" applyAlignment="1" applyProtection="1">
      <alignment vertical="center"/>
    </xf>
    <xf numFmtId="38" fontId="5" fillId="0" borderId="15" xfId="1" quotePrefix="1" applyNumberFormat="1" applyFont="1" applyBorder="1" applyAlignment="1" applyProtection="1">
      <alignment horizontal="right" vertical="center"/>
    </xf>
    <xf numFmtId="38" fontId="1" fillId="0" borderId="18" xfId="1" applyNumberFormat="1" applyFont="1" applyBorder="1" applyAlignment="1" applyProtection="1">
      <alignment vertical="center"/>
    </xf>
    <xf numFmtId="38" fontId="5" fillId="0" borderId="15" xfId="1" applyNumberFormat="1" applyFont="1" applyFill="1" applyBorder="1" applyAlignment="1" applyProtection="1">
      <alignment vertical="center"/>
    </xf>
    <xf numFmtId="0" fontId="1" fillId="0" borderId="0" xfId="0" applyFont="1" applyAlignment="1">
      <alignment horizontal="right" vertical="center"/>
    </xf>
    <xf numFmtId="0" fontId="7" fillId="0" borderId="0" xfId="4" applyFont="1" applyAlignment="1">
      <alignment horizontal="center"/>
    </xf>
    <xf numFmtId="0" fontId="5" fillId="0" borderId="0" xfId="4" applyFont="1"/>
    <xf numFmtId="0" fontId="1" fillId="0" borderId="0" xfId="4" applyAlignment="1">
      <alignment vertical="center"/>
    </xf>
    <xf numFmtId="40" fontId="1" fillId="0" borderId="8" xfId="0" applyNumberFormat="1" applyFont="1" applyBorder="1" applyAlignment="1">
      <alignment vertical="center"/>
    </xf>
    <xf numFmtId="40" fontId="1" fillId="0" borderId="18" xfId="0" applyNumberFormat="1" applyFont="1" applyBorder="1" applyAlignment="1">
      <alignment vertical="center"/>
    </xf>
    <xf numFmtId="40" fontId="1" fillId="0" borderId="7" xfId="0" applyNumberFormat="1" applyFont="1" applyBorder="1" applyAlignment="1">
      <alignment vertical="center"/>
    </xf>
    <xf numFmtId="40" fontId="5" fillId="0" borderId="20" xfId="0" applyNumberFormat="1" applyFont="1" applyBorder="1" applyAlignment="1">
      <alignment vertical="center"/>
    </xf>
    <xf numFmtId="40" fontId="1" fillId="0" borderId="12" xfId="0" applyNumberFormat="1" applyFont="1" applyBorder="1" applyAlignment="1">
      <alignment vertical="center"/>
    </xf>
    <xf numFmtId="40" fontId="1" fillId="0" borderId="11" xfId="0" applyNumberFormat="1" applyFont="1" applyBorder="1" applyAlignment="1">
      <alignment vertical="center"/>
    </xf>
    <xf numFmtId="10" fontId="1" fillId="0" borderId="5" xfId="6" applyNumberFormat="1" applyFont="1" applyFill="1" applyBorder="1" applyAlignment="1" applyProtection="1">
      <alignment horizontal="center" vertical="center"/>
    </xf>
    <xf numFmtId="38" fontId="5" fillId="0" borderId="26" xfId="0" applyNumberFormat="1" applyFont="1" applyBorder="1" applyAlignment="1">
      <alignment vertical="center"/>
    </xf>
    <xf numFmtId="10" fontId="5" fillId="0" borderId="3" xfId="6" applyNumberFormat="1" applyFont="1" applyFill="1" applyBorder="1" applyAlignment="1" applyProtection="1">
      <alignment horizontal="center" vertical="center"/>
    </xf>
    <xf numFmtId="38" fontId="5" fillId="0" borderId="27" xfId="0" applyNumberFormat="1" applyFont="1" applyBorder="1" applyAlignment="1">
      <alignment vertical="center"/>
    </xf>
    <xf numFmtId="0" fontId="17" fillId="0" borderId="0" xfId="4" applyFont="1" applyAlignment="1">
      <alignment horizontal="left" vertical="center"/>
    </xf>
    <xf numFmtId="10" fontId="1" fillId="0" borderId="9" xfId="1" quotePrefix="1" applyNumberFormat="1" applyFont="1" applyFill="1" applyBorder="1" applyAlignment="1" applyProtection="1">
      <alignment horizontal="right" vertical="center"/>
    </xf>
    <xf numFmtId="10" fontId="1" fillId="0" borderId="7" xfId="0" applyNumberFormat="1" applyFont="1" applyBorder="1" applyAlignment="1">
      <alignment vertical="center"/>
    </xf>
    <xf numFmtId="38" fontId="1" fillId="0" borderId="12" xfId="0" applyNumberFormat="1" applyFont="1" applyBorder="1" applyAlignment="1">
      <alignment vertical="center"/>
    </xf>
    <xf numFmtId="38" fontId="1" fillId="0" borderId="18" xfId="1" applyNumberFormat="1" applyFont="1" applyFill="1" applyBorder="1" applyAlignment="1" applyProtection="1">
      <alignment vertical="center"/>
    </xf>
    <xf numFmtId="38" fontId="5" fillId="0" borderId="13" xfId="1" applyNumberFormat="1" applyFont="1" applyFill="1" applyBorder="1" applyAlignment="1" applyProtection="1">
      <alignment vertical="center"/>
    </xf>
    <xf numFmtId="38" fontId="5" fillId="0" borderId="10" xfId="1" applyNumberFormat="1" applyFont="1" applyFill="1" applyBorder="1" applyAlignment="1" applyProtection="1">
      <alignment horizontal="right" vertical="center"/>
    </xf>
    <xf numFmtId="38" fontId="5" fillId="0" borderId="13" xfId="1" applyNumberFormat="1" applyFont="1" applyFill="1" applyBorder="1" applyAlignment="1" applyProtection="1">
      <alignment horizontal="right" vertical="center"/>
    </xf>
    <xf numFmtId="38" fontId="5" fillId="0" borderId="20" xfId="1" applyNumberFormat="1" applyFont="1" applyFill="1" applyBorder="1" applyAlignment="1" applyProtection="1">
      <alignment horizontal="right" vertical="center"/>
    </xf>
    <xf numFmtId="38" fontId="1" fillId="0" borderId="9" xfId="1" applyNumberFormat="1" applyFont="1" applyFill="1" applyBorder="1" applyAlignment="1" applyProtection="1">
      <alignment horizontal="right" vertical="center"/>
    </xf>
    <xf numFmtId="38" fontId="1" fillId="0" borderId="17" xfId="1" applyNumberFormat="1" applyFont="1" applyFill="1" applyBorder="1" applyAlignment="1" applyProtection="1">
      <alignment horizontal="right" vertical="center"/>
    </xf>
    <xf numFmtId="38" fontId="1" fillId="0" borderId="7" xfId="1" applyNumberFormat="1" applyFont="1" applyFill="1" applyBorder="1" applyAlignment="1" applyProtection="1">
      <alignment horizontal="right" vertical="center"/>
    </xf>
    <xf numFmtId="0" fontId="5" fillId="0" borderId="0" xfId="4" applyFont="1" applyAlignment="1">
      <alignment vertical="center"/>
    </xf>
    <xf numFmtId="0" fontId="1" fillId="0" borderId="0" xfId="4" applyAlignment="1">
      <alignment shrinkToFit="1"/>
    </xf>
    <xf numFmtId="0" fontId="3" fillId="0" borderId="9" xfId="0" applyFont="1" applyBorder="1" applyAlignment="1">
      <alignment vertical="center"/>
    </xf>
    <xf numFmtId="0" fontId="3" fillId="0" borderId="7" xfId="0" applyFont="1" applyBorder="1" applyAlignment="1">
      <alignment vertical="center"/>
    </xf>
    <xf numFmtId="38" fontId="1" fillId="0" borderId="0" xfId="1" applyNumberFormat="1" applyFont="1" applyFill="1" applyBorder="1" applyAlignment="1" applyProtection="1">
      <alignment vertical="center"/>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26"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wrapText="1"/>
    </xf>
    <xf numFmtId="0" fontId="8" fillId="0" borderId="11" xfId="0" applyFont="1" applyBorder="1" applyAlignment="1">
      <alignment horizontal="center"/>
    </xf>
    <xf numFmtId="49" fontId="8" fillId="0" borderId="8" xfId="0" applyNumberFormat="1" applyFont="1" applyBorder="1" applyAlignment="1">
      <alignment horizontal="center" wrapText="1"/>
    </xf>
    <xf numFmtId="49" fontId="1" fillId="0" borderId="19" xfId="4" applyNumberFormat="1" applyBorder="1" applyAlignment="1">
      <alignment horizontal="left" vertical="center"/>
    </xf>
    <xf numFmtId="0" fontId="1" fillId="0" borderId="0" xfId="4" applyAlignment="1">
      <alignment horizontal="center" vertical="center"/>
    </xf>
    <xf numFmtId="0" fontId="1" fillId="0" borderId="25" xfId="4" applyBorder="1" applyAlignment="1">
      <alignment horizontal="center" vertical="center"/>
    </xf>
    <xf numFmtId="0" fontId="5" fillId="0" borderId="28" xfId="4" applyFont="1" applyBorder="1" applyAlignment="1">
      <alignment horizontal="center" vertical="center"/>
    </xf>
    <xf numFmtId="0" fontId="5" fillId="0" borderId="21" xfId="4" applyFont="1" applyBorder="1" applyAlignment="1">
      <alignment horizontal="center" vertical="center"/>
    </xf>
    <xf numFmtId="0" fontId="1" fillId="0" borderId="29" xfId="4" quotePrefix="1" applyBorder="1" applyAlignment="1">
      <alignment horizontal="centerContinuous" vertical="center"/>
    </xf>
    <xf numFmtId="0" fontId="1" fillId="0" borderId="25" xfId="4" applyBorder="1" applyAlignment="1">
      <alignment horizontal="centerContinuous" vertical="center"/>
    </xf>
    <xf numFmtId="0" fontId="1" fillId="0" borderId="25" xfId="4" quotePrefix="1" applyBorder="1" applyAlignment="1">
      <alignment horizontal="centerContinuous" vertical="center"/>
    </xf>
    <xf numFmtId="0" fontId="5" fillId="0" borderId="28" xfId="4" applyFont="1" applyBorder="1" applyAlignment="1">
      <alignment horizontal="centerContinuous" vertical="center"/>
    </xf>
    <xf numFmtId="0" fontId="1" fillId="0" borderId="28" xfId="4" applyBorder="1" applyAlignment="1">
      <alignment horizontal="centerContinuous" vertical="center"/>
    </xf>
    <xf numFmtId="0" fontId="1" fillId="0" borderId="25" xfId="4" applyBorder="1" applyAlignment="1">
      <alignment vertical="center"/>
    </xf>
    <xf numFmtId="10" fontId="1" fillId="0" borderId="25" xfId="4" applyNumberFormat="1" applyBorder="1" applyAlignment="1">
      <alignment vertical="center"/>
    </xf>
    <xf numFmtId="9" fontId="1" fillId="0" borderId="7" xfId="4" applyNumberFormat="1" applyBorder="1" applyAlignment="1">
      <alignment horizontal="center" vertical="center"/>
    </xf>
    <xf numFmtId="9" fontId="5" fillId="0" borderId="7" xfId="4" applyNumberFormat="1" applyFont="1" applyBorder="1" applyAlignment="1">
      <alignment horizontal="center" vertical="center"/>
    </xf>
    <xf numFmtId="9" fontId="5" fillId="0" borderId="20" xfId="4" applyNumberFormat="1" applyFont="1" applyBorder="1" applyAlignment="1">
      <alignment horizontal="center" vertical="center"/>
    </xf>
    <xf numFmtId="38" fontId="1" fillId="0" borderId="31" xfId="4" applyNumberFormat="1" applyBorder="1" applyAlignment="1">
      <alignment vertical="center"/>
    </xf>
    <xf numFmtId="38" fontId="5" fillId="0" borderId="32" xfId="4" applyNumberFormat="1" applyFont="1" applyBorder="1" applyAlignment="1">
      <alignment vertical="center"/>
    </xf>
    <xf numFmtId="38" fontId="5" fillId="0" borderId="33" xfId="4" applyNumberFormat="1" applyFont="1" applyBorder="1" applyAlignment="1">
      <alignment vertical="center"/>
    </xf>
    <xf numFmtId="38" fontId="5" fillId="0" borderId="33" xfId="4" applyNumberFormat="1" applyFont="1" applyBorder="1" applyAlignment="1">
      <alignment vertical="center" shrinkToFit="1"/>
    </xf>
    <xf numFmtId="38" fontId="5" fillId="0" borderId="32" xfId="4" applyNumberFormat="1" applyFont="1" applyBorder="1" applyAlignment="1">
      <alignment vertical="center" shrinkToFit="1"/>
    </xf>
    <xf numFmtId="38" fontId="5" fillId="0" borderId="31" xfId="4" applyNumberFormat="1" applyFont="1" applyBorder="1" applyAlignment="1">
      <alignment vertical="center"/>
    </xf>
    <xf numFmtId="38" fontId="1" fillId="0" borderId="31" xfId="1" applyNumberFormat="1" applyFont="1" applyFill="1" applyBorder="1" applyAlignment="1" applyProtection="1">
      <alignment vertical="center"/>
    </xf>
    <xf numFmtId="38" fontId="1" fillId="0" borderId="31" xfId="1" applyNumberFormat="1" applyFont="1" applyBorder="1" applyAlignment="1" applyProtection="1">
      <alignment vertical="center"/>
    </xf>
    <xf numFmtId="38" fontId="5" fillId="0" borderId="32" xfId="1" applyNumberFormat="1" applyFont="1" applyBorder="1" applyAlignment="1" applyProtection="1">
      <alignment vertical="center"/>
    </xf>
    <xf numFmtId="40" fontId="1" fillId="0" borderId="31" xfId="1" applyNumberFormat="1" applyFont="1" applyFill="1" applyBorder="1" applyAlignment="1" applyProtection="1">
      <alignment vertical="center"/>
    </xf>
    <xf numFmtId="38" fontId="5" fillId="0" borderId="33" xfId="1" quotePrefix="1" applyNumberFormat="1" applyFont="1" applyBorder="1" applyAlignment="1" applyProtection="1">
      <alignment horizontal="right" vertical="center"/>
    </xf>
    <xf numFmtId="38" fontId="1" fillId="0" borderId="34" xfId="1" applyNumberFormat="1" applyFont="1" applyFill="1" applyBorder="1" applyAlignment="1" applyProtection="1">
      <alignment vertical="center"/>
    </xf>
    <xf numFmtId="38" fontId="1" fillId="0" borderId="34" xfId="1" applyNumberFormat="1" applyFont="1" applyBorder="1" applyAlignment="1" applyProtection="1">
      <alignment vertical="center"/>
    </xf>
    <xf numFmtId="38" fontId="5" fillId="0" borderId="33" xfId="1" applyNumberFormat="1" applyFont="1" applyBorder="1" applyAlignment="1" applyProtection="1">
      <alignment vertical="center"/>
    </xf>
    <xf numFmtId="38" fontId="5" fillId="0" borderId="32" xfId="1" applyNumberFormat="1" applyFont="1" applyFill="1" applyBorder="1" applyAlignment="1" applyProtection="1">
      <alignment vertical="center"/>
    </xf>
    <xf numFmtId="0" fontId="1" fillId="0" borderId="18" xfId="0" applyFont="1" applyBorder="1" applyAlignment="1">
      <alignment vertical="center"/>
    </xf>
    <xf numFmtId="0" fontId="15" fillId="0" borderId="2" xfId="4" applyFont="1" applyBorder="1" applyAlignment="1">
      <alignment horizontal="left" vertical="center"/>
    </xf>
    <xf numFmtId="0" fontId="8" fillId="0" borderId="28" xfId="0" applyFont="1" applyBorder="1" applyAlignment="1">
      <alignment horizontal="center" vertical="center"/>
    </xf>
    <xf numFmtId="0" fontId="8" fillId="0" borderId="15" xfId="0" applyFont="1" applyBorder="1" applyAlignment="1">
      <alignment horizontal="center"/>
    </xf>
    <xf numFmtId="0" fontId="1" fillId="0" borderId="29" xfId="0" applyFont="1" applyBorder="1" applyAlignment="1">
      <alignment vertical="center"/>
    </xf>
    <xf numFmtId="38" fontId="1" fillId="0" borderId="25" xfId="0" applyNumberFormat="1" applyFont="1" applyBorder="1" applyAlignment="1">
      <alignment vertical="center"/>
    </xf>
    <xf numFmtId="38" fontId="5" fillId="0" borderId="28" xfId="0" applyNumberFormat="1" applyFont="1" applyBorder="1" applyAlignment="1">
      <alignment vertical="center"/>
    </xf>
    <xf numFmtId="0" fontId="1" fillId="0" borderId="25" xfId="0" applyFont="1" applyBorder="1" applyAlignment="1">
      <alignment vertical="center"/>
    </xf>
    <xf numFmtId="38" fontId="5" fillId="0" borderId="25" xfId="0" applyNumberFormat="1" applyFont="1" applyBorder="1" applyAlignment="1">
      <alignment vertical="center"/>
    </xf>
    <xf numFmtId="3" fontId="1" fillId="0" borderId="31" xfId="4" applyNumberFormat="1" applyBorder="1" applyAlignment="1">
      <alignment vertical="center"/>
    </xf>
    <xf numFmtId="38" fontId="1" fillId="0" borderId="34" xfId="4" applyNumberFormat="1" applyBorder="1" applyAlignment="1">
      <alignment vertical="center"/>
    </xf>
    <xf numFmtId="38" fontId="5" fillId="0" borderId="13" xfId="4" applyNumberFormat="1" applyFont="1" applyBorder="1" applyAlignment="1">
      <alignment vertical="center"/>
    </xf>
    <xf numFmtId="0" fontId="1" fillId="0" borderId="0" xfId="0" applyFont="1" applyProtection="1">
      <protection locked="0"/>
    </xf>
    <xf numFmtId="3" fontId="1" fillId="0" borderId="2" xfId="4" applyNumberFormat="1" applyBorder="1" applyAlignment="1">
      <alignment horizontal="center" vertical="center"/>
    </xf>
    <xf numFmtId="3" fontId="1" fillId="0" borderId="30" xfId="4" applyNumberFormat="1" applyBorder="1" applyAlignment="1">
      <alignment horizontal="center" vertical="center"/>
    </xf>
    <xf numFmtId="0" fontId="8" fillId="0" borderId="21" xfId="0" applyFont="1" applyBorder="1" applyAlignment="1">
      <alignment horizontal="center" vertical="center"/>
    </xf>
    <xf numFmtId="38" fontId="1" fillId="0" borderId="17" xfId="4" applyNumberFormat="1" applyBorder="1" applyAlignment="1">
      <alignment vertical="center"/>
    </xf>
    <xf numFmtId="38" fontId="1" fillId="0" borderId="12" xfId="4" applyNumberFormat="1" applyBorder="1" applyAlignment="1">
      <alignment vertical="center"/>
    </xf>
    <xf numFmtId="40" fontId="1" fillId="0" borderId="12" xfId="4" applyNumberFormat="1" applyBorder="1" applyAlignment="1">
      <alignment vertical="center"/>
    </xf>
    <xf numFmtId="38" fontId="5" fillId="0" borderId="14" xfId="4" applyNumberFormat="1" applyFont="1" applyBorder="1" applyAlignment="1">
      <alignment vertical="center"/>
    </xf>
    <xf numFmtId="38" fontId="1" fillId="0" borderId="25" xfId="4" applyNumberFormat="1" applyBorder="1" applyAlignment="1">
      <alignment vertical="center"/>
    </xf>
    <xf numFmtId="38" fontId="5" fillId="0" borderId="28" xfId="4" applyNumberFormat="1" applyFont="1" applyBorder="1" applyAlignment="1">
      <alignment vertical="center"/>
    </xf>
    <xf numFmtId="38" fontId="1" fillId="0" borderId="29" xfId="4" applyNumberFormat="1" applyBorder="1" applyAlignment="1">
      <alignment vertical="center"/>
    </xf>
    <xf numFmtId="40" fontId="1" fillId="0" borderId="29" xfId="4" applyNumberFormat="1" applyBorder="1" applyAlignment="1">
      <alignment vertical="center"/>
    </xf>
    <xf numFmtId="165" fontId="6" fillId="0" borderId="0" xfId="4" applyNumberFormat="1" applyFont="1" applyAlignment="1">
      <alignment horizontal="center" vertical="center"/>
    </xf>
    <xf numFmtId="38" fontId="1" fillId="0" borderId="9" xfId="4" applyNumberFormat="1" applyBorder="1" applyAlignment="1">
      <alignment vertical="center"/>
    </xf>
    <xf numFmtId="38" fontId="5" fillId="0" borderId="10" xfId="4" applyNumberFormat="1" applyFont="1" applyBorder="1" applyAlignment="1">
      <alignment vertical="center"/>
    </xf>
    <xf numFmtId="38" fontId="1" fillId="0" borderId="8" xfId="4" applyNumberFormat="1" applyBorder="1" applyAlignment="1">
      <alignment vertical="center"/>
    </xf>
    <xf numFmtId="40" fontId="1" fillId="0" borderId="8" xfId="4" applyNumberFormat="1" applyBorder="1" applyAlignment="1">
      <alignment vertical="center"/>
    </xf>
    <xf numFmtId="0" fontId="8" fillId="0" borderId="29" xfId="4" applyFont="1" applyBorder="1" applyAlignment="1">
      <alignment horizontal="center" vertical="center" wrapText="1"/>
    </xf>
    <xf numFmtId="38" fontId="5" fillId="0" borderId="21" xfId="4" applyNumberFormat="1" applyFont="1" applyBorder="1" applyAlignment="1">
      <alignment vertical="center" shrinkToFit="1"/>
    </xf>
    <xf numFmtId="38" fontId="5" fillId="0" borderId="28" xfId="4" applyNumberFormat="1" applyFont="1" applyBorder="1" applyAlignment="1">
      <alignment vertical="center" shrinkToFit="1"/>
    </xf>
    <xf numFmtId="38" fontId="5" fillId="0" borderId="29" xfId="4" applyNumberFormat="1" applyFont="1" applyBorder="1" applyAlignment="1">
      <alignment vertical="center"/>
    </xf>
    <xf numFmtId="38" fontId="5" fillId="4" borderId="3" xfId="4" applyNumberFormat="1" applyFont="1" applyFill="1" applyBorder="1" applyAlignment="1" applyProtection="1">
      <alignment vertical="center"/>
      <protection locked="0"/>
    </xf>
    <xf numFmtId="38" fontId="5" fillId="0" borderId="25" xfId="4" applyNumberFormat="1" applyFont="1" applyBorder="1" applyAlignment="1">
      <alignment vertical="center" shrinkToFit="1"/>
    </xf>
    <xf numFmtId="38" fontId="5" fillId="0" borderId="25" xfId="4" applyNumberFormat="1" applyFont="1" applyBorder="1" applyAlignment="1">
      <alignment vertical="center"/>
    </xf>
    <xf numFmtId="0" fontId="8" fillId="0" borderId="12" xfId="4" applyFont="1" applyBorder="1" applyAlignment="1">
      <alignment horizontal="center" vertical="center" wrapText="1"/>
    </xf>
    <xf numFmtId="10" fontId="1" fillId="0" borderId="17" xfId="4" applyNumberFormat="1" applyBorder="1" applyAlignment="1">
      <alignment vertical="center"/>
    </xf>
    <xf numFmtId="38" fontId="5" fillId="0" borderId="13" xfId="4" applyNumberFormat="1" applyFont="1" applyBorder="1" applyAlignment="1">
      <alignment vertical="center" shrinkToFit="1"/>
    </xf>
    <xf numFmtId="38" fontId="5" fillId="0" borderId="17" xfId="4" applyNumberFormat="1" applyFont="1" applyBorder="1" applyAlignment="1">
      <alignment vertical="center" shrinkToFit="1"/>
    </xf>
    <xf numFmtId="38" fontId="5" fillId="0" borderId="14" xfId="4" applyNumberFormat="1" applyFont="1" applyBorder="1" applyAlignment="1">
      <alignment vertical="center" shrinkToFit="1"/>
    </xf>
    <xf numFmtId="38" fontId="5" fillId="0" borderId="17" xfId="4" applyNumberFormat="1" applyFont="1" applyBorder="1" applyAlignment="1">
      <alignment vertical="center"/>
    </xf>
    <xf numFmtId="0" fontId="8" fillId="0" borderId="6" xfId="4" applyFont="1" applyBorder="1" applyAlignment="1">
      <alignment horizontal="center" vertical="center" wrapText="1"/>
    </xf>
    <xf numFmtId="0" fontId="1" fillId="0" borderId="18" xfId="4" quotePrefix="1" applyBorder="1" applyAlignment="1">
      <alignment horizontal="center" vertical="center"/>
    </xf>
    <xf numFmtId="0" fontId="1" fillId="0" borderId="20" xfId="4" applyBorder="1" applyAlignment="1">
      <alignment horizontal="center" vertical="center"/>
    </xf>
    <xf numFmtId="0" fontId="8" fillId="0" borderId="8" xfId="4" applyFont="1" applyBorder="1" applyAlignment="1">
      <alignment horizontal="center" vertical="center" wrapText="1"/>
    </xf>
    <xf numFmtId="0" fontId="8" fillId="0" borderId="0" xfId="4" applyFont="1" applyAlignment="1">
      <alignment horizontal="right" vertical="center"/>
    </xf>
    <xf numFmtId="3" fontId="15" fillId="0" borderId="2" xfId="4" applyNumberFormat="1" applyFont="1" applyBorder="1" applyAlignment="1">
      <alignment horizontal="center" vertical="center"/>
    </xf>
    <xf numFmtId="3" fontId="15" fillId="0" borderId="30" xfId="4" applyNumberFormat="1" applyFont="1" applyBorder="1" applyAlignment="1">
      <alignment horizontal="center" vertical="center"/>
    </xf>
    <xf numFmtId="165" fontId="16" fillId="0" borderId="0" xfId="4" applyNumberFormat="1" applyFont="1" applyAlignment="1">
      <alignment horizontal="center" vertical="center"/>
    </xf>
    <xf numFmtId="0" fontId="1" fillId="0" borderId="2" xfId="4" applyBorder="1" applyAlignment="1">
      <alignment horizontal="center" vertical="center"/>
    </xf>
    <xf numFmtId="0" fontId="1" fillId="0" borderId="30" xfId="4" applyBorder="1" applyAlignment="1">
      <alignment horizontal="center" vertical="center"/>
    </xf>
    <xf numFmtId="10" fontId="1" fillId="0" borderId="6" xfId="6" applyNumberFormat="1" applyFont="1" applyFill="1" applyBorder="1" applyAlignment="1" applyProtection="1">
      <alignment horizontal="center" vertical="center"/>
    </xf>
    <xf numFmtId="0" fontId="8" fillId="0" borderId="6" xfId="0" applyFont="1" applyBorder="1" applyAlignment="1">
      <alignment horizontal="center" wrapText="1"/>
    </xf>
    <xf numFmtId="0" fontId="8" fillId="0" borderId="4" xfId="0" applyFont="1" applyBorder="1" applyAlignment="1">
      <alignment horizontal="center" vertical="center"/>
    </xf>
    <xf numFmtId="38" fontId="5" fillId="0" borderId="29" xfId="0" applyNumberFormat="1" applyFont="1" applyBorder="1" applyAlignment="1">
      <alignment vertical="center"/>
    </xf>
    <xf numFmtId="38" fontId="5" fillId="0" borderId="28" xfId="0" applyNumberFormat="1" applyFont="1" applyBorder="1" applyAlignment="1">
      <alignment horizontal="right" vertical="center"/>
    </xf>
    <xf numFmtId="38" fontId="1" fillId="0" borderId="5" xfId="1" applyNumberFormat="1" applyFont="1" applyFill="1" applyBorder="1" applyAlignment="1" applyProtection="1">
      <alignment vertical="center"/>
    </xf>
    <xf numFmtId="38" fontId="5" fillId="0" borderId="3" xfId="1" applyNumberFormat="1" applyFont="1" applyFill="1" applyBorder="1" applyAlignment="1" applyProtection="1">
      <alignment vertical="center"/>
    </xf>
    <xf numFmtId="0" fontId="15" fillId="0" borderId="2" xfId="4" applyFont="1" applyBorder="1" applyAlignment="1">
      <alignment horizontal="center" vertical="center"/>
    </xf>
    <xf numFmtId="165" fontId="1" fillId="0" borderId="2" xfId="4" applyNumberFormat="1" applyBorder="1" applyAlignment="1">
      <alignment horizontal="center" vertical="center"/>
    </xf>
    <xf numFmtId="0" fontId="15" fillId="0" borderId="30" xfId="4" applyFont="1" applyBorder="1" applyAlignment="1">
      <alignment horizontal="center" vertical="center"/>
    </xf>
    <xf numFmtId="166" fontId="15" fillId="0" borderId="30" xfId="4" applyNumberFormat="1" applyFont="1" applyBorder="1" applyAlignment="1">
      <alignment horizontal="center" vertical="center"/>
    </xf>
    <xf numFmtId="165" fontId="15" fillId="0" borderId="2" xfId="4" applyNumberFormat="1" applyFont="1" applyBorder="1" applyAlignment="1">
      <alignment horizontal="center" vertical="center"/>
    </xf>
    <xf numFmtId="38" fontId="1" fillId="0" borderId="5" xfId="2" applyNumberFormat="1" applyFont="1" applyFill="1" applyBorder="1" applyAlignment="1" applyProtection="1">
      <alignment vertical="center"/>
    </xf>
    <xf numFmtId="38" fontId="1" fillId="0" borderId="25" xfId="2" applyNumberFormat="1" applyFont="1" applyFill="1" applyBorder="1" applyAlignment="1" applyProtection="1">
      <alignment vertical="center"/>
    </xf>
    <xf numFmtId="0" fontId="8" fillId="5" borderId="18" xfId="0" applyFont="1" applyFill="1" applyBorder="1" applyAlignment="1">
      <alignment horizontal="center" vertical="top" wrapText="1"/>
    </xf>
    <xf numFmtId="10" fontId="8" fillId="5" borderId="5" xfId="6" applyNumberFormat="1" applyFont="1" applyFill="1" applyBorder="1" applyAlignment="1" applyProtection="1">
      <alignment horizontal="center" vertical="top" wrapText="1"/>
    </xf>
    <xf numFmtId="49" fontId="8" fillId="5" borderId="6" xfId="0" applyNumberFormat="1" applyFont="1" applyFill="1" applyBorder="1" applyAlignment="1">
      <alignment horizontal="center" vertical="top"/>
    </xf>
    <xf numFmtId="0" fontId="8" fillId="0" borderId="18" xfId="0" applyFont="1" applyBorder="1" applyAlignment="1">
      <alignment horizontal="center" vertical="center" wrapText="1"/>
    </xf>
    <xf numFmtId="0" fontId="8" fillId="5" borderId="15" xfId="0" applyFont="1" applyFill="1" applyBorder="1" applyAlignment="1">
      <alignment horizontal="center" vertical="top" wrapText="1"/>
    </xf>
    <xf numFmtId="38" fontId="5" fillId="0" borderId="17" xfId="1" applyNumberFormat="1" applyFont="1" applyFill="1" applyBorder="1" applyAlignment="1" applyProtection="1">
      <alignment vertical="center"/>
    </xf>
    <xf numFmtId="0" fontId="1" fillId="0" borderId="0" xfId="4" applyProtection="1">
      <protection locked="0"/>
    </xf>
    <xf numFmtId="0" fontId="5" fillId="0" borderId="10" xfId="4" applyFont="1" applyBorder="1" applyAlignment="1">
      <alignment horizontal="left" vertical="center" indent="1"/>
    </xf>
    <xf numFmtId="38" fontId="1" fillId="0" borderId="3" xfId="4" applyNumberFormat="1" applyBorder="1" applyAlignment="1">
      <alignment vertical="center"/>
    </xf>
    <xf numFmtId="38" fontId="1" fillId="0" borderId="28" xfId="4" applyNumberFormat="1" applyBorder="1" applyAlignment="1">
      <alignment vertical="center"/>
    </xf>
    <xf numFmtId="0" fontId="5" fillId="0" borderId="2" xfId="4" applyFont="1" applyBorder="1" applyAlignment="1">
      <alignment horizontal="left" vertical="center" indent="1"/>
    </xf>
    <xf numFmtId="10" fontId="1" fillId="0" borderId="30" xfId="1" applyNumberFormat="1" applyFont="1" applyFill="1" applyBorder="1" applyAlignment="1" applyProtection="1">
      <alignment horizontal="center" vertical="center"/>
    </xf>
    <xf numFmtId="0" fontId="1" fillId="0" borderId="6" xfId="4" applyBorder="1" applyAlignment="1">
      <alignment horizontal="center" vertical="center"/>
    </xf>
    <xf numFmtId="0" fontId="1" fillId="0" borderId="5" xfId="4" applyBorder="1" applyAlignment="1">
      <alignment horizontal="center" vertical="center"/>
    </xf>
    <xf numFmtId="0" fontId="1" fillId="0" borderId="3" xfId="4" applyBorder="1" applyAlignment="1">
      <alignment horizontal="center" vertical="center"/>
    </xf>
    <xf numFmtId="0" fontId="1" fillId="0" borderId="5" xfId="4" quotePrefix="1" applyBorder="1" applyAlignment="1">
      <alignment horizontal="center" vertical="center"/>
    </xf>
    <xf numFmtId="38" fontId="5" fillId="0" borderId="38" xfId="0" applyNumberFormat="1" applyFont="1" applyBorder="1" applyAlignment="1">
      <alignment vertical="center"/>
    </xf>
    <xf numFmtId="38" fontId="5" fillId="0" borderId="39" xfId="1" applyNumberFormat="1" applyFont="1" applyFill="1" applyBorder="1" applyAlignment="1" applyProtection="1">
      <alignment vertical="center"/>
    </xf>
    <xf numFmtId="38" fontId="5" fillId="0" borderId="40" xfId="1" applyNumberFormat="1" applyFont="1" applyFill="1" applyBorder="1" applyAlignment="1" applyProtection="1">
      <alignment vertical="center"/>
    </xf>
    <xf numFmtId="0" fontId="1" fillId="0" borderId="41" xfId="4" applyBorder="1" applyAlignment="1">
      <alignment horizontal="center" vertical="center"/>
    </xf>
    <xf numFmtId="0" fontId="5" fillId="0" borderId="42" xfId="4" applyFont="1" applyBorder="1" applyAlignment="1">
      <alignment horizontal="center" vertical="center"/>
    </xf>
    <xf numFmtId="10" fontId="5" fillId="0" borderId="42" xfId="1" applyNumberFormat="1" applyFont="1" applyFill="1" applyBorder="1" applyAlignment="1" applyProtection="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5" xfId="0" applyBorder="1"/>
    <xf numFmtId="0" fontId="0" fillId="0" borderId="41" xfId="0" applyBorder="1" applyAlignment="1">
      <alignment horizontal="center" vertical="center"/>
    </xf>
    <xf numFmtId="0" fontId="1" fillId="0" borderId="19" xfId="4" quotePrefix="1" applyBorder="1" applyAlignment="1">
      <alignment horizontal="left" vertical="center"/>
    </xf>
    <xf numFmtId="10" fontId="1" fillId="0" borderId="19" xfId="1" applyNumberFormat="1" applyFont="1" applyFill="1" applyBorder="1" applyAlignment="1" applyProtection="1">
      <alignment horizontal="center" vertical="center"/>
    </xf>
    <xf numFmtId="0" fontId="1" fillId="0" borderId="4" xfId="4" applyBorder="1" applyAlignment="1">
      <alignment horizontal="center" vertical="center"/>
    </xf>
    <xf numFmtId="0" fontId="1" fillId="0" borderId="4" xfId="4" applyBorder="1" applyAlignment="1">
      <alignment horizontal="center" vertical="center" shrinkToFit="1"/>
    </xf>
    <xf numFmtId="0" fontId="1" fillId="0" borderId="3" xfId="4" quotePrefix="1" applyBorder="1" applyAlignment="1">
      <alignment horizontal="center" vertical="center" shrinkToFit="1"/>
    </xf>
    <xf numFmtId="0" fontId="1" fillId="0" borderId="39" xfId="4" applyBorder="1" applyAlignment="1">
      <alignment horizontal="center" vertical="center"/>
    </xf>
    <xf numFmtId="38" fontId="5" fillId="0" borderId="47" xfId="0" applyNumberFormat="1" applyFont="1" applyBorder="1" applyAlignment="1">
      <alignment horizontal="right" vertical="center"/>
    </xf>
    <xf numFmtId="38" fontId="5" fillId="0" borderId="43" xfId="0" applyNumberFormat="1" applyFont="1" applyBorder="1" applyAlignment="1">
      <alignment vertical="center"/>
    </xf>
    <xf numFmtId="40" fontId="5" fillId="0" borderId="42" xfId="0" applyNumberFormat="1" applyFont="1" applyBorder="1" applyAlignment="1">
      <alignment vertical="center"/>
    </xf>
    <xf numFmtId="38" fontId="5" fillId="0" borderId="48" xfId="0" applyNumberFormat="1" applyFont="1" applyBorder="1" applyAlignment="1">
      <alignment vertical="center"/>
    </xf>
    <xf numFmtId="38" fontId="5" fillId="0" borderId="43" xfId="4" applyNumberFormat="1" applyFont="1" applyBorder="1" applyAlignment="1">
      <alignment vertical="center"/>
    </xf>
    <xf numFmtId="38" fontId="5" fillId="0" borderId="49" xfId="4" applyNumberFormat="1" applyFont="1" applyBorder="1" applyAlignment="1">
      <alignment vertical="center"/>
    </xf>
    <xf numFmtId="38" fontId="5" fillId="0" borderId="44" xfId="4" applyNumberFormat="1" applyFont="1" applyBorder="1" applyAlignment="1">
      <alignment vertical="center"/>
    </xf>
    <xf numFmtId="38" fontId="5" fillId="0" borderId="48" xfId="4" applyNumberFormat="1" applyFont="1" applyBorder="1" applyAlignment="1">
      <alignment vertical="center"/>
    </xf>
    <xf numFmtId="9" fontId="5" fillId="0" borderId="39" xfId="4" applyNumberFormat="1" applyFont="1" applyBorder="1" applyAlignment="1">
      <alignment horizontal="center" vertical="center"/>
    </xf>
    <xf numFmtId="38" fontId="5" fillId="0" borderId="41" xfId="4" applyNumberFormat="1" applyFont="1" applyBorder="1" applyAlignment="1">
      <alignment vertical="center"/>
    </xf>
    <xf numFmtId="38" fontId="5" fillId="0" borderId="50" xfId="4" applyNumberFormat="1" applyFont="1" applyBorder="1" applyAlignment="1">
      <alignment vertical="center"/>
    </xf>
    <xf numFmtId="38" fontId="5" fillId="0" borderId="38" xfId="4" applyNumberFormat="1" applyFont="1" applyBorder="1" applyAlignment="1">
      <alignment vertical="center"/>
    </xf>
    <xf numFmtId="38" fontId="5" fillId="0" borderId="40" xfId="4" applyNumberFormat="1" applyFont="1" applyBorder="1" applyAlignment="1">
      <alignment vertical="center"/>
    </xf>
    <xf numFmtId="0" fontId="0" fillId="0" borderId="2" xfId="0" applyBorder="1"/>
    <xf numFmtId="0" fontId="0" fillId="0" borderId="4" xfId="0" applyBorder="1" applyAlignment="1">
      <alignment horizontal="center" vertical="center"/>
    </xf>
    <xf numFmtId="0" fontId="0" fillId="0" borderId="30" xfId="0" applyBorder="1"/>
    <xf numFmtId="0" fontId="1" fillId="0" borderId="3" xfId="4" quotePrefix="1" applyBorder="1" applyAlignment="1">
      <alignment horizontal="center" vertical="center"/>
    </xf>
    <xf numFmtId="0" fontId="8" fillId="0" borderId="0" xfId="4" applyFont="1" applyAlignment="1">
      <alignment horizontal="right" vertical="center" indent="1"/>
    </xf>
    <xf numFmtId="0" fontId="8" fillId="0" borderId="0" xfId="4" applyFont="1" applyAlignment="1">
      <alignment horizontal="left" vertical="center"/>
    </xf>
    <xf numFmtId="0" fontId="15" fillId="0" borderId="0" xfId="4" applyFont="1" applyAlignment="1">
      <alignment horizontal="center"/>
    </xf>
    <xf numFmtId="0" fontId="15" fillId="0" borderId="0" xfId="4" applyFont="1" applyAlignment="1">
      <alignment horizontal="center" vertical="center"/>
    </xf>
    <xf numFmtId="164" fontId="16" fillId="0" borderId="0" xfId="4" applyNumberFormat="1" applyFont="1" applyAlignment="1">
      <alignment horizontal="center"/>
    </xf>
    <xf numFmtId="0" fontId="15" fillId="0" borderId="0" xfId="4" applyFont="1" applyAlignment="1">
      <alignment horizontal="right"/>
    </xf>
    <xf numFmtId="164" fontId="16" fillId="0" borderId="0" xfId="4" applyNumberFormat="1" applyFont="1" applyAlignment="1">
      <alignment horizontal="center" vertical="center"/>
    </xf>
    <xf numFmtId="10" fontId="15" fillId="0" borderId="30" xfId="1" applyNumberFormat="1" applyFont="1" applyFill="1" applyBorder="1" applyAlignment="1" applyProtection="1">
      <alignment horizontal="center" vertical="center"/>
    </xf>
    <xf numFmtId="49" fontId="15" fillId="0" borderId="0" xfId="4" applyNumberFormat="1" applyFont="1" applyAlignment="1" applyProtection="1">
      <alignment horizontal="left" vertical="center"/>
      <protection locked="0"/>
    </xf>
    <xf numFmtId="0" fontId="15" fillId="0" borderId="0" xfId="4" applyFont="1" applyAlignment="1">
      <alignment horizontal="left" vertical="center"/>
    </xf>
    <xf numFmtId="166" fontId="15" fillId="0" borderId="0" xfId="4" quotePrefix="1" applyNumberFormat="1" applyFont="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5" fillId="0" borderId="24" xfId="4" applyFont="1" applyBorder="1" applyAlignment="1">
      <alignment horizontal="center" vertical="center"/>
    </xf>
    <xf numFmtId="0" fontId="5" fillId="0" borderId="4" xfId="4" applyFont="1" applyBorder="1" applyAlignment="1">
      <alignment horizontal="center" vertical="center" wrapText="1"/>
    </xf>
    <xf numFmtId="0" fontId="5" fillId="0" borderId="21" xfId="4" applyFont="1" applyBorder="1" applyAlignment="1">
      <alignment horizontal="center" vertical="center" wrapText="1"/>
    </xf>
    <xf numFmtId="0" fontId="1" fillId="0" borderId="34" xfId="4" applyBorder="1" applyAlignment="1" applyProtection="1">
      <alignment horizontal="center" vertical="center" wrapText="1" shrinkToFit="1"/>
      <protection locked="0"/>
    </xf>
    <xf numFmtId="0" fontId="1" fillId="0" borderId="31" xfId="4" applyBorder="1" applyAlignment="1" applyProtection="1">
      <alignment horizontal="left" vertical="center" wrapText="1" shrinkToFit="1"/>
      <protection locked="0"/>
    </xf>
    <xf numFmtId="9" fontId="1" fillId="0" borderId="18" xfId="4" applyNumberFormat="1" applyBorder="1" applyAlignment="1">
      <alignment horizontal="center" vertical="center"/>
    </xf>
    <xf numFmtId="38" fontId="1" fillId="0" borderId="25" xfId="4" applyNumberFormat="1" applyBorder="1" applyAlignment="1" applyProtection="1">
      <alignment vertical="center"/>
      <protection locked="0"/>
    </xf>
    <xf numFmtId="0" fontId="5" fillId="0" borderId="4" xfId="4" applyFont="1" applyBorder="1" applyAlignment="1">
      <alignment horizontal="center" vertical="center"/>
    </xf>
    <xf numFmtId="38" fontId="5" fillId="0" borderId="31" xfId="1" applyNumberFormat="1" applyFont="1" applyFill="1" applyBorder="1" applyAlignment="1" applyProtection="1">
      <alignment vertical="center"/>
    </xf>
    <xf numFmtId="38" fontId="5" fillId="0" borderId="7" xfId="1" applyNumberFormat="1" applyFont="1" applyFill="1" applyBorder="1" applyAlignment="1" applyProtection="1">
      <alignment vertical="center"/>
    </xf>
    <xf numFmtId="38" fontId="1" fillId="0" borderId="9" xfId="4" applyNumberFormat="1" applyBorder="1" applyAlignment="1" applyProtection="1">
      <alignment vertical="center"/>
      <protection locked="0"/>
    </xf>
    <xf numFmtId="38" fontId="1" fillId="0" borderId="17" xfId="4" applyNumberFormat="1" applyBorder="1" applyAlignment="1" applyProtection="1">
      <alignment vertical="center"/>
      <protection locked="0"/>
    </xf>
    <xf numFmtId="38" fontId="5" fillId="0" borderId="13" xfId="4" applyNumberFormat="1" applyFont="1" applyBorder="1" applyAlignment="1" applyProtection="1">
      <alignment vertical="center"/>
      <protection locked="0"/>
    </xf>
    <xf numFmtId="167" fontId="1" fillId="0" borderId="7" xfId="4" applyNumberFormat="1" applyBorder="1" applyAlignment="1">
      <alignment horizontal="center" vertical="center"/>
    </xf>
    <xf numFmtId="167" fontId="1" fillId="0" borderId="25" xfId="1" applyNumberFormat="1" applyFont="1" applyFill="1" applyBorder="1" applyAlignment="1" applyProtection="1">
      <alignment horizontal="center" vertical="center"/>
    </xf>
    <xf numFmtId="0" fontId="30" fillId="0" borderId="41" xfId="0" applyFont="1" applyBorder="1" applyAlignment="1">
      <alignment horizontal="center" vertical="center"/>
    </xf>
    <xf numFmtId="14" fontId="1" fillId="0" borderId="2" xfId="0" applyNumberFormat="1" applyFont="1" applyBorder="1" applyAlignment="1">
      <alignment horizontal="center" vertical="center"/>
    </xf>
    <xf numFmtId="14" fontId="15" fillId="0" borderId="2" xfId="0" applyNumberFormat="1" applyFont="1" applyBorder="1" applyAlignment="1">
      <alignment horizontal="center" vertical="center"/>
    </xf>
    <xf numFmtId="14" fontId="1" fillId="0" borderId="2" xfId="0" applyNumberFormat="1" applyFont="1" applyBorder="1" applyAlignment="1">
      <alignment horizontal="center"/>
    </xf>
    <xf numFmtId="14" fontId="15" fillId="0" borderId="2" xfId="4" applyNumberFormat="1" applyFont="1" applyBorder="1" applyAlignment="1">
      <alignment horizontal="center" vertical="center"/>
    </xf>
    <xf numFmtId="14" fontId="16" fillId="0" borderId="2" xfId="4" applyNumberFormat="1" applyFont="1" applyBorder="1" applyAlignment="1">
      <alignment horizontal="center" vertical="center"/>
    </xf>
    <xf numFmtId="38" fontId="5" fillId="0" borderId="6" xfId="0" applyNumberFormat="1" applyFont="1" applyBorder="1" applyAlignment="1">
      <alignment vertical="center"/>
    </xf>
    <xf numFmtId="0" fontId="0" fillId="9" borderId="0" xfId="0" applyFill="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top"/>
      <protection locked="0"/>
    </xf>
    <xf numFmtId="0" fontId="24" fillId="0" borderId="0" xfId="0" applyFont="1" applyAlignment="1" applyProtection="1">
      <alignment horizontal="center" vertical="center"/>
      <protection locked="0"/>
    </xf>
    <xf numFmtId="10" fontId="24" fillId="0" borderId="30" xfId="0" applyNumberFormat="1" applyFont="1" applyBorder="1" applyAlignment="1" applyProtection="1">
      <alignment horizontal="center" vertical="center"/>
      <protection locked="0"/>
    </xf>
    <xf numFmtId="0" fontId="0" fillId="0" borderId="0" xfId="0" applyAlignment="1">
      <alignment horizontal="left" indent="2"/>
    </xf>
    <xf numFmtId="0" fontId="0" fillId="0" borderId="0" xfId="0" applyAlignment="1">
      <alignment horizontal="left" indent="4"/>
    </xf>
    <xf numFmtId="0" fontId="1" fillId="0" borderId="0" xfId="0" applyFont="1" applyAlignment="1">
      <alignment horizontal="left" vertical="top" wrapText="1" indent="5"/>
    </xf>
    <xf numFmtId="0" fontId="5" fillId="0" borderId="53" xfId="0" applyFont="1" applyBorder="1" applyAlignment="1">
      <alignment horizontal="center" vertical="center" textRotation="90"/>
    </xf>
    <xf numFmtId="0" fontId="0" fillId="0" borderId="0" xfId="0" applyAlignment="1" applyProtection="1">
      <alignment horizontal="left" indent="4"/>
      <protection locked="0"/>
    </xf>
    <xf numFmtId="0" fontId="24" fillId="0" borderId="0" xfId="0" applyFont="1" applyAlignment="1">
      <alignment vertical="center"/>
    </xf>
    <xf numFmtId="0" fontId="23" fillId="0" borderId="0" xfId="0" applyFont="1" applyAlignment="1">
      <alignment vertical="center"/>
    </xf>
    <xf numFmtId="14" fontId="1" fillId="0" borderId="2" xfId="0"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5" fillId="0" borderId="2" xfId="4" applyFont="1" applyBorder="1" applyAlignment="1" applyProtection="1">
      <alignment horizontal="left" vertical="center"/>
      <protection locked="0"/>
    </xf>
    <xf numFmtId="0" fontId="1" fillId="0" borderId="2" xfId="4" applyBorder="1" applyAlignment="1" applyProtection="1">
      <alignment horizontal="left" vertical="center"/>
      <protection locked="0"/>
    </xf>
    <xf numFmtId="0" fontId="8" fillId="0" borderId="53" xfId="4" applyFont="1" applyBorder="1" applyAlignment="1" applyProtection="1">
      <alignment horizontal="center" vertical="center" textRotation="90"/>
      <protection locked="0"/>
    </xf>
    <xf numFmtId="0" fontId="8" fillId="0" borderId="35" xfId="0" applyFont="1" applyBorder="1" applyAlignment="1" applyProtection="1">
      <alignment horizontal="center" vertical="center"/>
      <protection locked="0"/>
    </xf>
    <xf numFmtId="164" fontId="8" fillId="0" borderId="46" xfId="0" applyNumberFormat="1"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1" fillId="0" borderId="5" xfId="4" applyBorder="1" applyAlignment="1" applyProtection="1">
      <alignment horizontal="center" vertical="center"/>
      <protection locked="0"/>
    </xf>
    <xf numFmtId="0" fontId="1" fillId="0" borderId="3" xfId="4" applyBorder="1" applyAlignment="1" applyProtection="1">
      <alignment horizontal="center" vertical="center"/>
      <protection locked="0"/>
    </xf>
    <xf numFmtId="0" fontId="1" fillId="0" borderId="7" xfId="4" applyBorder="1" applyAlignment="1" applyProtection="1">
      <alignment horizontal="center" vertical="center"/>
      <protection locked="0"/>
    </xf>
    <xf numFmtId="0" fontId="5" fillId="0" borderId="20" xfId="4" applyFont="1" applyBorder="1" applyAlignment="1" applyProtection="1">
      <alignment horizontal="center" vertical="center"/>
      <protection locked="0"/>
    </xf>
    <xf numFmtId="38" fontId="1" fillId="0" borderId="9" xfId="1" applyNumberFormat="1" applyFont="1" applyFill="1" applyBorder="1" applyAlignment="1" applyProtection="1">
      <alignment vertical="center"/>
      <protection locked="0"/>
    </xf>
    <xf numFmtId="38" fontId="5" fillId="0" borderId="2" xfId="1" applyNumberFormat="1" applyFont="1" applyFill="1" applyBorder="1" applyAlignment="1" applyProtection="1">
      <alignment vertical="center"/>
      <protection locked="0"/>
    </xf>
    <xf numFmtId="10" fontId="1" fillId="0" borderId="7" xfId="1" applyNumberFormat="1" applyFont="1" applyFill="1" applyBorder="1" applyAlignment="1" applyProtection="1">
      <alignment horizontal="center" vertical="center"/>
      <protection locked="0"/>
    </xf>
    <xf numFmtId="38" fontId="1" fillId="0" borderId="9" xfId="0" applyNumberFormat="1" applyFont="1" applyBorder="1" applyAlignment="1" applyProtection="1">
      <alignment vertical="center"/>
      <protection locked="0"/>
    </xf>
    <xf numFmtId="38" fontId="5" fillId="0" borderId="10" xfId="0" applyNumberFormat="1" applyFont="1" applyBorder="1" applyAlignment="1" applyProtection="1">
      <alignment vertical="center"/>
      <protection locked="0"/>
    </xf>
    <xf numFmtId="38" fontId="1" fillId="0" borderId="17" xfId="0" applyNumberFormat="1" applyFont="1" applyBorder="1" applyAlignment="1" applyProtection="1">
      <alignment vertical="center"/>
      <protection locked="0"/>
    </xf>
    <xf numFmtId="38" fontId="5" fillId="0" borderId="13" xfId="0" applyNumberFormat="1" applyFont="1" applyBorder="1" applyAlignment="1" applyProtection="1">
      <alignment vertical="center"/>
      <protection locked="0"/>
    </xf>
    <xf numFmtId="0" fontId="8" fillId="0" borderId="35" xfId="4" applyFont="1" applyBorder="1" applyAlignment="1" applyProtection="1">
      <alignment horizontal="center" wrapText="1"/>
      <protection locked="0"/>
    </xf>
    <xf numFmtId="0" fontId="1" fillId="0" borderId="6" xfId="4" applyBorder="1" applyAlignment="1" applyProtection="1">
      <alignment horizontal="center" vertical="center"/>
      <protection locked="0"/>
    </xf>
    <xf numFmtId="0" fontId="1" fillId="0" borderId="5" xfId="4" quotePrefix="1" applyBorder="1" applyAlignment="1" applyProtection="1">
      <alignment horizontal="center" vertical="center"/>
      <protection locked="0"/>
    </xf>
    <xf numFmtId="0" fontId="1" fillId="0" borderId="41" xfId="4"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8" fillId="0" borderId="3" xfId="4" applyFont="1" applyBorder="1" applyAlignment="1" applyProtection="1">
      <alignment horizontal="left" vertical="distributed" textRotation="90"/>
      <protection locked="0"/>
    </xf>
    <xf numFmtId="38" fontId="5" fillId="0" borderId="20" xfId="1" applyNumberFormat="1" applyFont="1" applyFill="1" applyBorder="1" applyAlignment="1" applyProtection="1">
      <alignment vertical="center"/>
      <protection locked="0"/>
    </xf>
    <xf numFmtId="0" fontId="1" fillId="0" borderId="7" xfId="4" quotePrefix="1" applyBorder="1" applyAlignment="1" applyProtection="1">
      <alignment horizontal="center" vertical="center"/>
      <protection locked="0"/>
    </xf>
    <xf numFmtId="0" fontId="5" fillId="0" borderId="7" xfId="4" applyFont="1" applyBorder="1" applyAlignment="1" applyProtection="1">
      <alignment horizontal="center" vertical="center"/>
      <protection locked="0"/>
    </xf>
    <xf numFmtId="167" fontId="1" fillId="0" borderId="7" xfId="4" applyNumberFormat="1" applyBorder="1" applyAlignment="1" applyProtection="1">
      <alignment horizontal="center" vertical="center"/>
      <protection locked="0"/>
    </xf>
    <xf numFmtId="0" fontId="5" fillId="0" borderId="42" xfId="4" applyFont="1" applyBorder="1" applyAlignment="1" applyProtection="1">
      <alignment horizontal="center" vertical="center"/>
      <protection locked="0"/>
    </xf>
    <xf numFmtId="38" fontId="5" fillId="0" borderId="10" xfId="1" applyNumberFormat="1" applyFont="1" applyFill="1" applyBorder="1" applyAlignment="1" applyProtection="1">
      <alignment vertical="center"/>
      <protection locked="0"/>
    </xf>
    <xf numFmtId="38" fontId="5" fillId="0" borderId="43" xfId="1" applyNumberFormat="1" applyFont="1" applyFill="1" applyBorder="1" applyAlignment="1" applyProtection="1">
      <alignment vertical="center"/>
      <protection locked="0"/>
    </xf>
    <xf numFmtId="38" fontId="5" fillId="0" borderId="43" xfId="0" applyNumberFormat="1" applyFont="1" applyBorder="1" applyAlignment="1" applyProtection="1">
      <alignment vertical="center"/>
      <protection locked="0"/>
    </xf>
    <xf numFmtId="38" fontId="5" fillId="0" borderId="44" xfId="0" applyNumberFormat="1" applyFont="1" applyBorder="1" applyAlignment="1" applyProtection="1">
      <alignment vertical="center"/>
      <protection locked="0"/>
    </xf>
    <xf numFmtId="38" fontId="5" fillId="0" borderId="42" xfId="1" applyNumberFormat="1" applyFont="1" applyFill="1" applyBorder="1" applyAlignment="1" applyProtection="1">
      <alignment vertical="center"/>
      <protection locked="0"/>
    </xf>
    <xf numFmtId="0" fontId="8" fillId="0" borderId="11" xfId="0" applyFont="1" applyBorder="1" applyAlignment="1">
      <alignment horizontal="center" vertical="center" wrapText="1"/>
    </xf>
    <xf numFmtId="0" fontId="1" fillId="0" borderId="9" xfId="0" applyFont="1" applyBorder="1" applyAlignment="1">
      <alignment vertical="center"/>
    </xf>
    <xf numFmtId="0" fontId="1" fillId="0" borderId="31" xfId="0" applyFont="1" applyBorder="1" applyAlignment="1">
      <alignment vertical="center"/>
    </xf>
    <xf numFmtId="38" fontId="5" fillId="0" borderId="2" xfId="1" applyNumberFormat="1" applyFont="1" applyFill="1" applyBorder="1" applyAlignment="1" applyProtection="1">
      <alignment vertical="center"/>
    </xf>
    <xf numFmtId="38" fontId="5" fillId="0" borderId="43" xfId="1" applyNumberFormat="1" applyFont="1" applyFill="1" applyBorder="1" applyAlignment="1" applyProtection="1">
      <alignment vertical="center"/>
    </xf>
    <xf numFmtId="0" fontId="5" fillId="0" borderId="0" xfId="4" applyFont="1" applyAlignment="1" applyProtection="1">
      <alignment vertical="center"/>
      <protection locked="0"/>
    </xf>
    <xf numFmtId="0" fontId="5" fillId="0" borderId="0" xfId="0" applyFont="1"/>
    <xf numFmtId="0" fontId="5" fillId="0" borderId="0" xfId="4" applyFont="1" applyProtection="1">
      <protection locked="0"/>
    </xf>
    <xf numFmtId="10" fontId="1" fillId="0" borderId="17" xfId="1" applyNumberFormat="1" applyFont="1" applyFill="1" applyBorder="1" applyAlignment="1" applyProtection="1">
      <alignment vertical="center"/>
      <protection locked="0"/>
    </xf>
    <xf numFmtId="0" fontId="1" fillId="0" borderId="31" xfId="4" applyBorder="1" applyProtection="1">
      <protection locked="0"/>
    </xf>
    <xf numFmtId="0" fontId="15" fillId="0" borderId="34" xfId="0" applyFont="1" applyBorder="1" applyAlignment="1" applyProtection="1">
      <alignment horizontal="left" vertical="center"/>
      <protection locked="0"/>
    </xf>
    <xf numFmtId="0" fontId="5" fillId="0" borderId="0" xfId="0" applyFont="1" applyAlignment="1">
      <alignment horizontal="center" vertical="center" wrapText="1"/>
    </xf>
    <xf numFmtId="6" fontId="1" fillId="0" borderId="0" xfId="0" applyNumberFormat="1" applyFont="1" applyAlignment="1" applyProtection="1">
      <alignment horizontal="center" vertical="center" wrapText="1"/>
      <protection locked="0"/>
    </xf>
    <xf numFmtId="6" fontId="5" fillId="0" borderId="0" xfId="0" applyNumberFormat="1" applyFont="1" applyAlignment="1">
      <alignment horizontal="center" vertical="center" wrapText="1"/>
    </xf>
    <xf numFmtId="0" fontId="5" fillId="0" borderId="0" xfId="0" applyFont="1" applyAlignment="1">
      <alignment vertical="center" wrapText="1"/>
    </xf>
    <xf numFmtId="165" fontId="1" fillId="0" borderId="0" xfId="4" applyNumberFormat="1" applyAlignment="1">
      <alignment horizontal="center" vertical="center"/>
    </xf>
    <xf numFmtId="49" fontId="24" fillId="0" borderId="0" xfId="0" applyNumberFormat="1" applyFont="1" applyAlignment="1" applyProtection="1">
      <alignment horizontal="center" vertical="center" wrapText="1"/>
      <protection locked="0"/>
    </xf>
    <xf numFmtId="0" fontId="23" fillId="0" borderId="0" xfId="0" applyFont="1" applyAlignment="1" applyProtection="1">
      <alignment vertical="center"/>
      <protection locked="0"/>
    </xf>
    <xf numFmtId="0" fontId="4" fillId="0" borderId="0" xfId="0" applyFont="1" applyAlignment="1">
      <alignment vertical="center"/>
    </xf>
    <xf numFmtId="0" fontId="4" fillId="0" borderId="0" xfId="0" applyFont="1"/>
    <xf numFmtId="0" fontId="23" fillId="3" borderId="0" xfId="0" applyFont="1" applyFill="1" applyAlignment="1" applyProtection="1">
      <alignment vertical="center"/>
      <protection locked="0"/>
    </xf>
    <xf numFmtId="0" fontId="23" fillId="0" borderId="75" xfId="0" applyFont="1" applyBorder="1" applyAlignment="1" applyProtection="1">
      <alignment vertical="center"/>
      <protection locked="0"/>
    </xf>
    <xf numFmtId="0" fontId="5" fillId="0" borderId="75" xfId="0" applyFont="1" applyBorder="1" applyAlignment="1">
      <alignment horizontal="center" vertical="top"/>
    </xf>
    <xf numFmtId="0" fontId="0" fillId="0" borderId="76"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5" fillId="0" borderId="83" xfId="0" applyFont="1" applyBorder="1" applyAlignment="1">
      <alignment horizontal="center" vertical="top"/>
    </xf>
    <xf numFmtId="0" fontId="23" fillId="3" borderId="75" xfId="0" applyFont="1" applyFill="1" applyBorder="1" applyAlignment="1" applyProtection="1">
      <alignment vertical="center"/>
      <protection locked="0"/>
    </xf>
    <xf numFmtId="0" fontId="23" fillId="0" borderId="16" xfId="0" applyFont="1" applyBorder="1" applyAlignment="1">
      <alignment horizontal="left" vertical="center" indent="1"/>
    </xf>
    <xf numFmtId="0" fontId="23" fillId="0" borderId="16" xfId="0" applyFont="1" applyBorder="1" applyAlignment="1">
      <alignment horizontal="left" indent="1"/>
    </xf>
    <xf numFmtId="0" fontId="23" fillId="3" borderId="0" xfId="0" applyFont="1" applyFill="1" applyAlignment="1">
      <alignment horizontal="left" vertical="center" indent="1"/>
    </xf>
    <xf numFmtId="0" fontId="23" fillId="3" borderId="0" xfId="0" applyFont="1" applyFill="1" applyAlignment="1">
      <alignment horizontal="left" indent="1"/>
    </xf>
    <xf numFmtId="10" fontId="1" fillId="0" borderId="16" xfId="1" applyNumberFormat="1" applyFont="1" applyFill="1" applyBorder="1" applyAlignment="1" applyProtection="1">
      <alignment horizontal="center" vertical="center"/>
    </xf>
    <xf numFmtId="10" fontId="5" fillId="0" borderId="26" xfId="1" applyNumberFormat="1" applyFont="1" applyFill="1" applyBorder="1" applyAlignment="1" applyProtection="1">
      <alignment horizontal="center" vertical="center"/>
    </xf>
    <xf numFmtId="10" fontId="5" fillId="0" borderId="16" xfId="1" applyNumberFormat="1" applyFont="1" applyFill="1" applyBorder="1" applyAlignment="1" applyProtection="1">
      <alignment horizontal="center" vertical="center"/>
    </xf>
    <xf numFmtId="10" fontId="5" fillId="0" borderId="60" xfId="1" applyNumberFormat="1" applyFont="1" applyFill="1" applyBorder="1" applyAlignment="1" applyProtection="1">
      <alignment horizontal="center" vertical="center"/>
    </xf>
    <xf numFmtId="38" fontId="1" fillId="0" borderId="11" xfId="1" applyNumberFormat="1" applyFont="1" applyFill="1" applyBorder="1" applyAlignment="1" applyProtection="1">
      <alignment vertical="center"/>
    </xf>
    <xf numFmtId="10" fontId="1" fillId="0" borderId="16" xfId="0" applyNumberFormat="1" applyFont="1" applyBorder="1" applyAlignment="1">
      <alignment vertical="center"/>
    </xf>
    <xf numFmtId="10" fontId="5" fillId="0" borderId="27" xfId="1" applyNumberFormat="1" applyFont="1" applyFill="1" applyBorder="1" applyAlignment="1" applyProtection="1">
      <alignment horizontal="center" vertical="center"/>
    </xf>
    <xf numFmtId="38" fontId="1" fillId="0" borderId="11" xfId="0" applyNumberFormat="1" applyFont="1" applyBorder="1" applyAlignment="1">
      <alignment vertical="center"/>
    </xf>
    <xf numFmtId="38" fontId="1" fillId="0" borderId="11" xfId="1" applyNumberFormat="1" applyFont="1" applyBorder="1" applyAlignment="1" applyProtection="1">
      <alignment vertical="center"/>
    </xf>
    <xf numFmtId="38" fontId="1" fillId="0" borderId="16" xfId="1" applyNumberFormat="1" applyFont="1" applyFill="1" applyBorder="1" applyAlignment="1" applyProtection="1">
      <alignment horizontal="right" vertical="center"/>
    </xf>
    <xf numFmtId="0" fontId="15" fillId="0" borderId="31" xfId="0" applyFont="1" applyBorder="1" applyAlignment="1" applyProtection="1">
      <alignment horizontal="left" vertical="center"/>
      <protection locked="0"/>
    </xf>
    <xf numFmtId="0" fontId="15" fillId="0" borderId="31" xfId="4" applyFont="1" applyBorder="1" applyAlignment="1" applyProtection="1">
      <alignment horizontal="left" vertical="center"/>
      <protection locked="0"/>
    </xf>
    <xf numFmtId="40" fontId="1" fillId="0" borderId="16" xfId="0" applyNumberFormat="1" applyFont="1" applyBorder="1" applyAlignment="1">
      <alignment vertical="center"/>
    </xf>
    <xf numFmtId="49" fontId="8" fillId="0" borderId="26" xfId="0" applyNumberFormat="1" applyFont="1" applyBorder="1" applyAlignment="1">
      <alignment horizontal="center" vertical="center"/>
    </xf>
    <xf numFmtId="40" fontId="5" fillId="0" borderId="26" xfId="0" applyNumberFormat="1" applyFont="1" applyBorder="1" applyAlignment="1">
      <alignment vertical="center"/>
    </xf>
    <xf numFmtId="40" fontId="5" fillId="0" borderId="54" xfId="0" applyNumberFormat="1" applyFont="1" applyBorder="1" applyAlignment="1">
      <alignment vertical="center"/>
    </xf>
    <xf numFmtId="0" fontId="1" fillId="0" borderId="34" xfId="4" applyBorder="1" applyAlignment="1" applyProtection="1">
      <alignment horizontal="center" vertical="center"/>
      <protection locked="0"/>
    </xf>
    <xf numFmtId="0" fontId="15" fillId="8" borderId="33" xfId="4" applyFont="1" applyFill="1" applyBorder="1" applyAlignment="1" applyProtection="1">
      <alignment horizontal="left" vertical="center"/>
      <protection locked="0"/>
    </xf>
    <xf numFmtId="0" fontId="1" fillId="0" borderId="34" xfId="4" applyBorder="1" applyAlignment="1" applyProtection="1">
      <alignment vertical="top" wrapText="1" shrinkToFit="1"/>
      <protection locked="0"/>
    </xf>
    <xf numFmtId="0" fontId="15" fillId="8" borderId="45" xfId="4" applyFont="1" applyFill="1" applyBorder="1" applyAlignment="1" applyProtection="1">
      <alignment horizontal="left" vertical="center"/>
      <protection locked="0"/>
    </xf>
    <xf numFmtId="0" fontId="15" fillId="0" borderId="33" xfId="4" applyFont="1" applyBorder="1" applyAlignment="1" applyProtection="1">
      <alignment horizontal="left" vertical="center"/>
      <protection locked="0"/>
    </xf>
    <xf numFmtId="0" fontId="3" fillId="0" borderId="0" xfId="0" applyFont="1" applyAlignment="1">
      <alignment vertical="center"/>
    </xf>
    <xf numFmtId="165" fontId="43" fillId="0" borderId="0" xfId="0" applyNumberFormat="1" applyFont="1" applyAlignment="1">
      <alignment horizontal="center" vertical="center"/>
    </xf>
    <xf numFmtId="165" fontId="43" fillId="0" borderId="0" xfId="0" applyNumberFormat="1" applyFont="1" applyAlignment="1" applyProtection="1">
      <alignment horizontal="center" vertical="center"/>
      <protection locked="0"/>
    </xf>
    <xf numFmtId="49" fontId="1" fillId="0" borderId="0" xfId="4" applyNumberFormat="1" applyAlignment="1">
      <alignment horizontal="left" vertical="center"/>
    </xf>
    <xf numFmtId="0" fontId="1" fillId="8" borderId="30" xfId="0" applyFont="1" applyFill="1" applyBorder="1" applyAlignment="1" applyProtection="1">
      <alignment horizontal="left" vertical="center"/>
      <protection locked="0"/>
    </xf>
    <xf numFmtId="38" fontId="1" fillId="8" borderId="5" xfId="0" applyNumberFormat="1" applyFont="1" applyFill="1" applyBorder="1" applyAlignment="1" applyProtection="1">
      <alignment vertical="center"/>
      <protection locked="0"/>
    </xf>
    <xf numFmtId="10" fontId="1" fillId="8" borderId="5" xfId="6" applyNumberFormat="1" applyFont="1" applyFill="1" applyBorder="1" applyAlignment="1" applyProtection="1">
      <alignment horizontal="center" vertical="center"/>
      <protection locked="0"/>
    </xf>
    <xf numFmtId="38" fontId="1" fillId="8" borderId="25" xfId="0" applyNumberFormat="1" applyFont="1" applyFill="1" applyBorder="1" applyAlignment="1" applyProtection="1">
      <alignment vertical="center"/>
      <protection locked="0"/>
    </xf>
    <xf numFmtId="9" fontId="1" fillId="8" borderId="25" xfId="6" applyFont="1" applyFill="1" applyBorder="1" applyAlignment="1" applyProtection="1">
      <alignment vertical="center"/>
      <protection locked="0"/>
    </xf>
    <xf numFmtId="38" fontId="5" fillId="8" borderId="20" xfId="0" applyNumberFormat="1" applyFont="1" applyFill="1" applyBorder="1" applyAlignment="1" applyProtection="1">
      <alignment vertical="center"/>
      <protection locked="0"/>
    </xf>
    <xf numFmtId="10" fontId="1" fillId="0" borderId="25" xfId="6" applyNumberFormat="1" applyFont="1" applyFill="1" applyBorder="1" applyAlignment="1" applyProtection="1">
      <alignment vertical="center"/>
    </xf>
    <xf numFmtId="10" fontId="1" fillId="0" borderId="5" xfId="6" applyNumberFormat="1" applyFont="1" applyFill="1" applyBorder="1" applyAlignment="1" applyProtection="1">
      <alignment vertical="center"/>
    </xf>
    <xf numFmtId="38" fontId="1" fillId="8" borderId="7" xfId="0" applyNumberFormat="1" applyFont="1" applyFill="1" applyBorder="1" applyAlignment="1" applyProtection="1">
      <alignment vertical="center"/>
      <protection locked="0"/>
    </xf>
    <xf numFmtId="38" fontId="1" fillId="8" borderId="10" xfId="0" applyNumberFormat="1" applyFont="1" applyFill="1" applyBorder="1" applyAlignment="1" applyProtection="1">
      <alignment vertical="center"/>
      <protection locked="0"/>
    </xf>
    <xf numFmtId="0" fontId="5" fillId="8" borderId="21" xfId="4" applyFont="1" applyFill="1" applyBorder="1" applyAlignment="1">
      <alignment horizontal="center" vertical="top" wrapText="1"/>
    </xf>
    <xf numFmtId="38" fontId="1" fillId="8" borderId="25" xfId="4" applyNumberFormat="1" applyFill="1" applyBorder="1" applyAlignment="1" applyProtection="1">
      <alignment vertical="center"/>
      <protection locked="0"/>
    </xf>
    <xf numFmtId="38" fontId="1" fillId="8" borderId="25" xfId="4" applyNumberFormat="1" applyFill="1" applyBorder="1" applyAlignment="1" applyProtection="1">
      <alignment vertical="top"/>
      <protection locked="0"/>
    </xf>
    <xf numFmtId="38" fontId="1" fillId="10" borderId="5" xfId="4" applyNumberFormat="1" applyFill="1" applyBorder="1" applyAlignment="1" applyProtection="1">
      <alignment vertical="center"/>
      <protection locked="0"/>
    </xf>
    <xf numFmtId="38" fontId="1" fillId="10" borderId="17" xfId="4" applyNumberFormat="1" applyFill="1" applyBorder="1" applyAlignment="1" applyProtection="1">
      <alignment vertical="center"/>
      <protection locked="0"/>
    </xf>
    <xf numFmtId="0" fontId="12" fillId="10" borderId="10" xfId="4" applyFont="1" applyFill="1" applyBorder="1" applyAlignment="1" applyProtection="1">
      <alignment horizontal="left" vertical="center"/>
      <protection locked="0"/>
    </xf>
    <xf numFmtId="0" fontId="12" fillId="10" borderId="22" xfId="4" applyFont="1" applyFill="1" applyBorder="1" applyAlignment="1" applyProtection="1">
      <alignment horizontal="left" vertical="center"/>
      <protection locked="0"/>
    </xf>
    <xf numFmtId="38" fontId="1" fillId="8" borderId="28" xfId="4" applyNumberFormat="1" applyFill="1" applyBorder="1" applyAlignment="1" applyProtection="1">
      <alignment vertical="center"/>
      <protection locked="0"/>
    </xf>
    <xf numFmtId="38" fontId="1" fillId="8" borderId="25" xfId="2" applyNumberFormat="1" applyFont="1" applyFill="1" applyBorder="1" applyAlignment="1" applyProtection="1">
      <alignment vertical="center"/>
      <protection locked="0"/>
    </xf>
    <xf numFmtId="38" fontId="1" fillId="10" borderId="9" xfId="1" applyNumberFormat="1" applyFont="1" applyFill="1" applyBorder="1" applyAlignment="1" applyProtection="1">
      <alignment vertical="center"/>
      <protection locked="0"/>
    </xf>
    <xf numFmtId="0" fontId="15" fillId="0" borderId="3" xfId="0" applyFont="1" applyBorder="1" applyAlignment="1">
      <alignment horizontal="center" vertical="center"/>
    </xf>
    <xf numFmtId="0" fontId="15" fillId="0" borderId="84" xfId="0" applyFont="1" applyBorder="1" applyAlignment="1">
      <alignment horizontal="center" vertical="center"/>
    </xf>
    <xf numFmtId="0" fontId="8" fillId="0" borderId="4" xfId="4" applyFont="1" applyBorder="1" applyAlignment="1">
      <alignment horizontal="center" vertical="center" wrapText="1"/>
    </xf>
    <xf numFmtId="0" fontId="15" fillId="10" borderId="33" xfId="4" applyFont="1" applyFill="1" applyBorder="1" applyAlignment="1" applyProtection="1">
      <alignment horizontal="left" vertical="center" wrapText="1"/>
      <protection locked="0"/>
    </xf>
    <xf numFmtId="0" fontId="34" fillId="10" borderId="33" xfId="0" applyFont="1" applyFill="1" applyBorder="1" applyAlignment="1" applyProtection="1">
      <alignment horizontal="left" vertical="center" wrapText="1"/>
      <protection locked="0"/>
    </xf>
    <xf numFmtId="0" fontId="15" fillId="10" borderId="33" xfId="0" applyFont="1" applyFill="1" applyBorder="1" applyAlignment="1" applyProtection="1">
      <alignment horizontal="left" vertical="center" wrapText="1"/>
      <protection locked="0"/>
    </xf>
    <xf numFmtId="38" fontId="1" fillId="10" borderId="17" xfId="1" applyNumberFormat="1" applyFont="1" applyFill="1" applyBorder="1" applyAlignment="1" applyProtection="1">
      <alignment vertical="center"/>
      <protection locked="0"/>
    </xf>
    <xf numFmtId="38" fontId="1" fillId="10" borderId="7" xfId="1" applyNumberFormat="1" applyFont="1" applyFill="1" applyBorder="1" applyAlignment="1" applyProtection="1">
      <alignment vertical="center"/>
      <protection locked="0"/>
    </xf>
    <xf numFmtId="0" fontId="15" fillId="10" borderId="32" xfId="0" applyFont="1" applyFill="1" applyBorder="1" applyAlignment="1" applyProtection="1">
      <alignment horizontal="left" vertical="center" wrapText="1"/>
      <protection locked="0"/>
    </xf>
    <xf numFmtId="38" fontId="1" fillId="10" borderId="17" xfId="0" applyNumberFormat="1" applyFont="1" applyFill="1" applyBorder="1" applyAlignment="1" applyProtection="1">
      <alignment vertical="center"/>
      <protection locked="0"/>
    </xf>
    <xf numFmtId="38" fontId="5" fillId="10" borderId="7" xfId="1" applyNumberFormat="1" applyFont="1" applyFill="1" applyBorder="1" applyAlignment="1" applyProtection="1">
      <alignment vertical="center"/>
      <protection locked="0"/>
    </xf>
    <xf numFmtId="38" fontId="1" fillId="10" borderId="31" xfId="1" applyNumberFormat="1" applyFont="1" applyFill="1" applyBorder="1" applyAlignment="1" applyProtection="1">
      <alignment vertical="center"/>
      <protection locked="0"/>
    </xf>
    <xf numFmtId="38" fontId="1" fillId="10" borderId="7" xfId="1" applyNumberFormat="1" applyFont="1" applyFill="1" applyBorder="1" applyAlignment="1" applyProtection="1">
      <alignment horizontal="right" vertical="center"/>
      <protection locked="0"/>
    </xf>
    <xf numFmtId="0" fontId="15" fillId="10" borderId="33" xfId="4" applyFont="1" applyFill="1" applyBorder="1" applyAlignment="1" applyProtection="1">
      <alignment horizontal="left" vertical="center"/>
      <protection locked="0"/>
    </xf>
    <xf numFmtId="0" fontId="15" fillId="10" borderId="33" xfId="0" applyFont="1" applyFill="1" applyBorder="1" applyAlignment="1" applyProtection="1">
      <alignment horizontal="left" vertical="center"/>
      <protection locked="0"/>
    </xf>
    <xf numFmtId="0" fontId="11" fillId="10" borderId="10" xfId="4" applyFont="1" applyFill="1" applyBorder="1" applyAlignment="1" applyProtection="1">
      <alignment horizontal="left" vertical="center"/>
      <protection locked="0"/>
    </xf>
    <xf numFmtId="0" fontId="11" fillId="10" borderId="22" xfId="4" applyFont="1" applyFill="1" applyBorder="1" applyAlignment="1" applyProtection="1">
      <alignment horizontal="left" vertical="center"/>
      <protection locked="0"/>
    </xf>
    <xf numFmtId="0" fontId="12" fillId="10" borderId="10" xfId="4" applyFont="1" applyFill="1" applyBorder="1" applyAlignment="1" applyProtection="1">
      <alignment horizontal="left" vertical="center" wrapText="1"/>
      <protection locked="0"/>
    </xf>
    <xf numFmtId="0" fontId="12" fillId="10" borderId="22" xfId="4" applyFont="1" applyFill="1" applyBorder="1" applyAlignment="1" applyProtection="1">
      <alignment horizontal="left" vertical="center" wrapText="1"/>
      <protection locked="0"/>
    </xf>
    <xf numFmtId="0" fontId="15" fillId="10" borderId="31" xfId="4" applyFont="1" applyFill="1" applyBorder="1" applyAlignment="1" applyProtection="1">
      <alignment horizontal="left" vertical="center"/>
      <protection locked="0"/>
    </xf>
    <xf numFmtId="0" fontId="15" fillId="10" borderId="45" xfId="0" applyFont="1" applyFill="1" applyBorder="1" applyAlignment="1" applyProtection="1">
      <alignment horizontal="left" vertical="center"/>
      <protection locked="0"/>
    </xf>
    <xf numFmtId="38" fontId="1" fillId="10" borderId="7" xfId="0" applyNumberFormat="1" applyFont="1" applyFill="1" applyBorder="1" applyAlignment="1" applyProtection="1">
      <alignment vertical="center"/>
      <protection locked="0"/>
    </xf>
    <xf numFmtId="0" fontId="5" fillId="0" borderId="26" xfId="0" applyFont="1" applyBorder="1" applyAlignment="1">
      <alignment vertical="center" wrapText="1"/>
    </xf>
    <xf numFmtId="0" fontId="5" fillId="0" borderId="2" xfId="0" applyFont="1" applyBorder="1" applyAlignment="1">
      <alignment vertical="center" wrapText="1"/>
    </xf>
    <xf numFmtId="0" fontId="8" fillId="0" borderId="46" xfId="0" applyFont="1" applyBorder="1" applyAlignment="1">
      <alignment horizontal="center" vertical="center"/>
    </xf>
    <xf numFmtId="0" fontId="8" fillId="0" borderId="36" xfId="0" applyFont="1" applyBorder="1" applyAlignment="1">
      <alignment horizontal="center" vertical="center"/>
    </xf>
    <xf numFmtId="0" fontId="8" fillId="0" borderId="56" xfId="0" applyFont="1" applyBorder="1" applyAlignment="1">
      <alignment horizontal="center" vertical="center"/>
    </xf>
    <xf numFmtId="0" fontId="8" fillId="0" borderId="37" xfId="0" applyFont="1" applyBorder="1" applyAlignment="1">
      <alignment horizontal="center" vertical="center"/>
    </xf>
    <xf numFmtId="49" fontId="8" fillId="0" borderId="3" xfId="0" applyNumberFormat="1" applyFont="1" applyBorder="1" applyAlignment="1">
      <alignment horizontal="center" vertical="center"/>
    </xf>
    <xf numFmtId="0" fontId="8" fillId="0" borderId="23" xfId="0" applyFont="1" applyBorder="1" applyAlignment="1">
      <alignment horizontal="center" vertical="center"/>
    </xf>
    <xf numFmtId="0" fontId="8" fillId="0" borderId="22" xfId="4" applyFont="1" applyBorder="1" applyAlignment="1">
      <alignment horizontal="center" vertical="center" wrapText="1"/>
    </xf>
    <xf numFmtId="0" fontId="5" fillId="0" borderId="22" xfId="4" applyFont="1" applyBorder="1" applyAlignment="1">
      <alignment horizontal="center" vertical="center"/>
    </xf>
    <xf numFmtId="0" fontId="5" fillId="0" borderId="22" xfId="4" applyFont="1" applyBorder="1" applyAlignment="1">
      <alignment horizontal="center" vertical="center" wrapText="1"/>
    </xf>
    <xf numFmtId="164" fontId="8" fillId="0" borderId="53" xfId="0" applyNumberFormat="1" applyFont="1" applyBorder="1" applyAlignment="1" applyProtection="1">
      <alignment horizontal="center" vertical="center" wrapText="1"/>
      <protection locked="0"/>
    </xf>
    <xf numFmtId="38" fontId="1" fillId="10" borderId="0" xfId="1" applyNumberFormat="1" applyFont="1" applyFill="1" applyBorder="1" applyAlignment="1" applyProtection="1">
      <alignment vertical="center"/>
      <protection locked="0"/>
    </xf>
    <xf numFmtId="38" fontId="5" fillId="10" borderId="33" xfId="1" applyNumberFormat="1" applyFont="1" applyFill="1" applyBorder="1" applyAlignment="1" applyProtection="1">
      <alignment horizontal="left" vertical="center" wrapText="1"/>
    </xf>
    <xf numFmtId="0" fontId="15" fillId="10" borderId="45" xfId="4" applyFont="1" applyFill="1" applyBorder="1" applyAlignment="1" applyProtection="1">
      <alignment horizontal="left" vertical="center" wrapText="1"/>
      <protection locked="0"/>
    </xf>
    <xf numFmtId="10" fontId="24" fillId="10" borderId="30" xfId="0" applyNumberFormat="1" applyFont="1" applyFill="1" applyBorder="1" applyAlignment="1" applyProtection="1">
      <alignment horizontal="center" vertical="center"/>
      <protection locked="0"/>
    </xf>
    <xf numFmtId="165" fontId="24" fillId="10" borderId="2" xfId="0" applyNumberFormat="1" applyFont="1" applyFill="1" applyBorder="1" applyAlignment="1" applyProtection="1">
      <alignment horizontal="center" vertical="center"/>
      <protection locked="0"/>
    </xf>
    <xf numFmtId="14" fontId="24" fillId="10" borderId="2" xfId="0" applyNumberFormat="1" applyFont="1" applyFill="1" applyBorder="1" applyAlignment="1" applyProtection="1">
      <alignment horizontal="center" vertical="center"/>
      <protection locked="0"/>
    </xf>
    <xf numFmtId="3" fontId="24" fillId="10" borderId="2" xfId="0" applyNumberFormat="1" applyFont="1" applyFill="1" applyBorder="1" applyAlignment="1" applyProtection="1">
      <alignment horizontal="center" vertical="center"/>
      <protection locked="0"/>
    </xf>
    <xf numFmtId="3" fontId="24" fillId="10" borderId="30" xfId="0" applyNumberFormat="1" applyFont="1" applyFill="1" applyBorder="1" applyAlignment="1" applyProtection="1">
      <alignment horizontal="center" vertical="center"/>
      <protection locked="0"/>
    </xf>
    <xf numFmtId="14" fontId="15" fillId="10" borderId="80" xfId="0" applyNumberFormat="1" applyFont="1" applyFill="1" applyBorder="1" applyAlignment="1" applyProtection="1">
      <alignment vertical="center" wrapText="1"/>
      <protection locked="0"/>
    </xf>
    <xf numFmtId="14" fontId="15" fillId="8" borderId="80" xfId="0" applyNumberFormat="1" applyFont="1" applyFill="1" applyBorder="1" applyAlignment="1" applyProtection="1">
      <alignment horizontal="center" vertical="center" wrapText="1"/>
      <protection locked="0"/>
    </xf>
    <xf numFmtId="38" fontId="5" fillId="0" borderId="55" xfId="1" applyNumberFormat="1" applyFont="1" applyFill="1" applyBorder="1" applyAlignment="1" applyProtection="1">
      <alignment vertical="center"/>
    </xf>
    <xf numFmtId="164" fontId="8" fillId="0" borderId="57" xfId="0" applyNumberFormat="1" applyFont="1" applyBorder="1" applyAlignment="1">
      <alignment horizontal="center" vertical="center"/>
    </xf>
    <xf numFmtId="0" fontId="5" fillId="0" borderId="0" xfId="0" applyFont="1" applyAlignment="1" applyProtection="1">
      <alignment horizontal="center" wrapText="1"/>
      <protection locked="0"/>
    </xf>
    <xf numFmtId="0" fontId="5" fillId="0" borderId="0" xfId="0" applyFont="1" applyAlignment="1" applyProtection="1">
      <alignment horizontal="center" vertical="center" wrapText="1"/>
      <protection locked="0"/>
    </xf>
    <xf numFmtId="6" fontId="5" fillId="0" borderId="0" xfId="0" applyNumberFormat="1" applyFont="1" applyAlignment="1" applyProtection="1">
      <alignment horizontal="center" vertical="center" wrapText="1"/>
      <protection locked="0"/>
    </xf>
    <xf numFmtId="0" fontId="0" fillId="0" borderId="0" xfId="0" applyAlignment="1">
      <alignment vertical="center" wrapText="1"/>
    </xf>
    <xf numFmtId="164" fontId="8" fillId="0" borderId="46" xfId="0" applyNumberFormat="1" applyFont="1" applyBorder="1" applyAlignment="1">
      <alignment horizontal="center" vertical="center"/>
    </xf>
    <xf numFmtId="38" fontId="1" fillId="0" borderId="16" xfId="1" applyNumberFormat="1" applyFont="1" applyFill="1" applyBorder="1" applyAlignment="1" applyProtection="1">
      <alignment vertical="center"/>
    </xf>
    <xf numFmtId="10" fontId="1" fillId="0" borderId="16" xfId="1" applyNumberFormat="1" applyFont="1" applyFill="1" applyBorder="1" applyAlignment="1" applyProtection="1">
      <alignment vertical="center"/>
      <protection locked="0"/>
    </xf>
    <xf numFmtId="38" fontId="5" fillId="0" borderId="16" xfId="1" applyNumberFormat="1" applyFont="1" applyFill="1" applyBorder="1" applyAlignment="1" applyProtection="1">
      <alignment vertical="center"/>
    </xf>
    <xf numFmtId="38" fontId="5" fillId="0" borderId="26" xfId="1" applyNumberFormat="1" applyFont="1" applyFill="1" applyBorder="1" applyAlignment="1" applyProtection="1">
      <alignment vertical="center"/>
    </xf>
    <xf numFmtId="38" fontId="5" fillId="0" borderId="27" xfId="1" applyNumberFormat="1" applyFont="1" applyFill="1" applyBorder="1" applyAlignment="1" applyProtection="1">
      <alignment vertical="center"/>
    </xf>
    <xf numFmtId="38" fontId="5" fillId="0" borderId="26" xfId="1" applyNumberFormat="1" applyFont="1" applyFill="1" applyBorder="1" applyAlignment="1" applyProtection="1">
      <alignment horizontal="right" vertical="center"/>
    </xf>
    <xf numFmtId="0" fontId="8" fillId="0" borderId="59" xfId="4" applyFont="1" applyBorder="1" applyAlignment="1">
      <alignment wrapText="1"/>
    </xf>
    <xf numFmtId="38" fontId="1" fillId="0" borderId="16" xfId="1" applyNumberFormat="1" applyFont="1" applyFill="1" applyBorder="1" applyAlignment="1" applyProtection="1">
      <alignment vertical="center"/>
      <protection locked="0"/>
    </xf>
    <xf numFmtId="38" fontId="1" fillId="0" borderId="16" xfId="0" applyNumberFormat="1" applyFont="1" applyBorder="1" applyAlignment="1" applyProtection="1">
      <alignment vertical="center"/>
      <protection locked="0"/>
    </xf>
    <xf numFmtId="38" fontId="5" fillId="0" borderId="30" xfId="1" quotePrefix="1" applyNumberFormat="1" applyFont="1" applyFill="1" applyBorder="1" applyAlignment="1" applyProtection="1">
      <alignment horizontal="right" vertical="center"/>
    </xf>
    <xf numFmtId="38" fontId="5" fillId="0" borderId="60" xfId="0" applyNumberFormat="1" applyFont="1" applyBorder="1" applyAlignment="1">
      <alignment vertical="center"/>
    </xf>
    <xf numFmtId="0" fontId="5" fillId="0" borderId="0" xfId="4" applyFont="1" applyAlignment="1">
      <alignment horizontal="right"/>
    </xf>
    <xf numFmtId="38" fontId="1" fillId="0" borderId="6" xfId="1" applyNumberFormat="1" applyFont="1" applyFill="1" applyBorder="1" applyAlignment="1" applyProtection="1">
      <alignment vertical="center"/>
    </xf>
    <xf numFmtId="0" fontId="8" fillId="0" borderId="53" xfId="4" applyFont="1" applyBorder="1" applyAlignment="1">
      <alignment vertical="center" textRotation="90"/>
    </xf>
    <xf numFmtId="0" fontId="8" fillId="0" borderId="57" xfId="0" applyFont="1" applyBorder="1" applyAlignment="1">
      <alignment horizontal="center" vertical="center"/>
    </xf>
    <xf numFmtId="38" fontId="1" fillId="0" borderId="17" xfId="0" applyNumberFormat="1" applyFont="1" applyBorder="1"/>
    <xf numFmtId="38" fontId="5" fillId="0" borderId="13" xfId="0" applyNumberFormat="1" applyFont="1" applyBorder="1"/>
    <xf numFmtId="38" fontId="1" fillId="0" borderId="12" xfId="1" applyNumberFormat="1" applyFont="1" applyFill="1" applyBorder="1" applyAlignment="1" applyProtection="1">
      <alignment vertical="center"/>
    </xf>
    <xf numFmtId="38" fontId="1" fillId="0" borderId="13" xfId="0" applyNumberFormat="1" applyFont="1" applyBorder="1"/>
    <xf numFmtId="38" fontId="5" fillId="0" borderId="17" xfId="0" applyNumberFormat="1" applyFont="1" applyBorder="1"/>
    <xf numFmtId="38" fontId="5" fillId="0" borderId="14" xfId="0" applyNumberFormat="1" applyFont="1" applyBorder="1"/>
    <xf numFmtId="38" fontId="5" fillId="10" borderId="17" xfId="1" applyNumberFormat="1" applyFont="1" applyFill="1" applyBorder="1" applyAlignment="1" applyProtection="1">
      <alignment vertical="center"/>
      <protection locked="0"/>
    </xf>
    <xf numFmtId="38" fontId="5" fillId="0" borderId="16" xfId="1" applyNumberFormat="1" applyFont="1" applyFill="1" applyBorder="1" applyAlignment="1" applyProtection="1">
      <alignment vertical="center"/>
      <protection locked="0"/>
    </xf>
    <xf numFmtId="38" fontId="5" fillId="0" borderId="38" xfId="0" applyNumberFormat="1" applyFont="1" applyBorder="1"/>
    <xf numFmtId="0" fontId="1" fillId="0" borderId="17" xfId="0" applyFont="1" applyBorder="1" applyAlignment="1">
      <alignment vertical="center"/>
    </xf>
    <xf numFmtId="10" fontId="1" fillId="0" borderId="17" xfId="1" applyNumberFormat="1" applyFont="1" applyFill="1" applyBorder="1" applyAlignment="1" applyProtection="1">
      <alignment horizontal="center" vertical="center"/>
    </xf>
    <xf numFmtId="10" fontId="5" fillId="0" borderId="13" xfId="1" applyNumberFormat="1" applyFont="1" applyFill="1" applyBorder="1" applyAlignment="1" applyProtection="1">
      <alignment horizontal="center" vertical="center"/>
    </xf>
    <xf numFmtId="10" fontId="5" fillId="0" borderId="44" xfId="1" applyNumberFormat="1" applyFont="1" applyFill="1" applyBorder="1" applyAlignment="1" applyProtection="1">
      <alignment horizontal="center" vertical="center"/>
    </xf>
    <xf numFmtId="38" fontId="3" fillId="0" borderId="0" xfId="0" applyNumberFormat="1" applyFont="1" applyAlignment="1">
      <alignment vertical="center"/>
    </xf>
    <xf numFmtId="38" fontId="3" fillId="0" borderId="17" xfId="0" applyNumberFormat="1" applyFont="1" applyBorder="1" applyAlignment="1">
      <alignment vertical="center"/>
    </xf>
    <xf numFmtId="0" fontId="3" fillId="0" borderId="12" xfId="0" applyFont="1" applyBorder="1" applyAlignment="1">
      <alignment vertical="center"/>
    </xf>
    <xf numFmtId="38" fontId="5" fillId="0" borderId="44" xfId="1" applyNumberFormat="1" applyFont="1" applyFill="1" applyBorder="1" applyAlignment="1" applyProtection="1">
      <alignment vertical="center"/>
    </xf>
    <xf numFmtId="38" fontId="1" fillId="11" borderId="5" xfId="4" applyNumberFormat="1" applyFill="1" applyBorder="1" applyAlignment="1" applyProtection="1">
      <alignment vertical="center"/>
      <protection locked="0"/>
    </xf>
    <xf numFmtId="14" fontId="1" fillId="0" borderId="2" xfId="4" applyNumberFormat="1" applyBorder="1" applyAlignment="1">
      <alignment horizontal="center" vertical="center"/>
    </xf>
    <xf numFmtId="165" fontId="43" fillId="0" borderId="0" xfId="0" applyNumberFormat="1" applyFont="1" applyAlignment="1">
      <alignment horizontal="left" vertical="center"/>
    </xf>
    <xf numFmtId="0" fontId="5" fillId="0" borderId="93" xfId="0" applyFont="1" applyBorder="1" applyAlignment="1">
      <alignment horizontal="center" vertical="top"/>
    </xf>
    <xf numFmtId="0" fontId="23" fillId="0" borderId="0" xfId="0" applyFont="1" applyAlignment="1">
      <alignment horizontal="left" indent="1"/>
    </xf>
    <xf numFmtId="0" fontId="4" fillId="0" borderId="0" xfId="0" applyFont="1" applyAlignment="1" applyProtection="1">
      <alignment horizontal="left" wrapText="1" indent="1"/>
      <protection locked="0"/>
    </xf>
    <xf numFmtId="0" fontId="0" fillId="0" borderId="0" xfId="0" applyAlignment="1" applyProtection="1">
      <alignment horizontal="left" indent="1"/>
      <protection locked="0"/>
    </xf>
    <xf numFmtId="0" fontId="4" fillId="0" borderId="0" xfId="0" applyFont="1" applyAlignment="1" applyProtection="1">
      <alignment horizontal="left" wrapText="1"/>
      <protection locked="0"/>
    </xf>
    <xf numFmtId="0" fontId="0" fillId="0" borderId="0" xfId="0" applyAlignment="1" applyProtection="1">
      <alignment horizontal="left"/>
      <protection locked="0"/>
    </xf>
    <xf numFmtId="38" fontId="1" fillId="9" borderId="9" xfId="1" applyNumberFormat="1" applyFont="1" applyFill="1" applyBorder="1" applyAlignment="1" applyProtection="1">
      <alignment vertical="center"/>
    </xf>
    <xf numFmtId="10" fontId="1" fillId="10" borderId="9" xfId="1" applyNumberFormat="1" applyFont="1" applyFill="1" applyBorder="1" applyAlignment="1" applyProtection="1">
      <alignment vertical="center"/>
      <protection locked="0"/>
    </xf>
    <xf numFmtId="10" fontId="1" fillId="10" borderId="17" xfId="1" applyNumberFormat="1" applyFont="1" applyFill="1" applyBorder="1" applyAlignment="1" applyProtection="1">
      <alignment vertical="center"/>
      <protection locked="0"/>
    </xf>
    <xf numFmtId="10" fontId="1" fillId="10" borderId="7" xfId="1" applyNumberFormat="1" applyFont="1" applyFill="1" applyBorder="1" applyAlignment="1" applyProtection="1">
      <alignment vertical="center"/>
      <protection locked="0"/>
    </xf>
    <xf numFmtId="14" fontId="47" fillId="6" borderId="0" xfId="0" applyNumberFormat="1" applyFont="1" applyFill="1" applyAlignment="1" applyProtection="1">
      <alignment horizontal="right" wrapText="1" indent="2"/>
      <protection locked="0"/>
    </xf>
    <xf numFmtId="0" fontId="18" fillId="9" borderId="0" xfId="0" applyFont="1" applyFill="1" applyAlignment="1" applyProtection="1">
      <alignment horizontal="right" vertical="center" wrapText="1" indent="2"/>
      <protection locked="0"/>
    </xf>
    <xf numFmtId="0" fontId="18" fillId="0" borderId="0" xfId="0" applyFont="1" applyAlignment="1" applyProtection="1">
      <alignment horizontal="right" vertical="center" wrapText="1" indent="2"/>
      <protection locked="0"/>
    </xf>
    <xf numFmtId="0" fontId="4" fillId="0" borderId="0" xfId="0" applyFont="1" applyAlignment="1" applyProtection="1">
      <alignment horizontal="left" wrapText="1" indent="1"/>
      <protection locked="0"/>
    </xf>
    <xf numFmtId="0" fontId="0" fillId="0" borderId="0" xfId="0" applyAlignment="1" applyProtection="1">
      <alignment horizontal="left" wrapText="1" indent="1"/>
      <protection locked="0"/>
    </xf>
    <xf numFmtId="0" fontId="37" fillId="6" borderId="0" xfId="0" applyFont="1" applyFill="1" applyAlignment="1" applyProtection="1">
      <alignment horizontal="left" indent="2"/>
      <protection locked="0"/>
    </xf>
    <xf numFmtId="0" fontId="0" fillId="0" borderId="0" xfId="0" applyAlignment="1" applyProtection="1">
      <alignment horizontal="left" indent="2"/>
      <protection locked="0"/>
    </xf>
    <xf numFmtId="0" fontId="18" fillId="0" borderId="0" xfId="0" applyFont="1" applyAlignment="1" applyProtection="1">
      <alignment horizontal="left" vertical="top" wrapText="1" indent="2"/>
      <protection locked="0"/>
    </xf>
    <xf numFmtId="0" fontId="4" fillId="4" borderId="94" xfId="0" applyFont="1" applyFill="1" applyBorder="1" applyAlignment="1" applyProtection="1">
      <alignment horizontal="left" wrapText="1"/>
      <protection locked="0"/>
    </xf>
    <xf numFmtId="0" fontId="0" fillId="0" borderId="94" xfId="0" applyBorder="1" applyAlignment="1" applyProtection="1">
      <alignment horizontal="left"/>
      <protection locked="0"/>
    </xf>
    <xf numFmtId="0" fontId="4" fillId="0" borderId="0" xfId="0" quotePrefix="1" applyFont="1" applyAlignment="1" applyProtection="1">
      <alignment horizontal="left" vertical="top" wrapText="1" indent="1"/>
      <protection locked="0"/>
    </xf>
    <xf numFmtId="0" fontId="0" fillId="0" borderId="0" xfId="0" applyAlignment="1" applyProtection="1">
      <alignment horizontal="left" indent="1"/>
      <protection locked="0"/>
    </xf>
    <xf numFmtId="0" fontId="4" fillId="8" borderId="94" xfId="0" applyFont="1" applyFill="1" applyBorder="1" applyAlignment="1" applyProtection="1">
      <alignment horizontal="left" wrapText="1"/>
      <protection locked="0"/>
    </xf>
    <xf numFmtId="0" fontId="18" fillId="0" borderId="0" xfId="0" applyFont="1" applyAlignment="1" applyProtection="1">
      <alignment horizontal="left" vertical="top" wrapText="1" indent="1"/>
      <protection locked="0"/>
    </xf>
    <xf numFmtId="0" fontId="4" fillId="12" borderId="94" xfId="0" applyFont="1" applyFill="1" applyBorder="1" applyAlignment="1" applyProtection="1">
      <alignment horizontal="left" wrapText="1" indent="1"/>
      <protection locked="0"/>
    </xf>
    <xf numFmtId="0" fontId="0" fillId="12" borderId="94" xfId="0" applyFill="1" applyBorder="1" applyAlignment="1" applyProtection="1">
      <alignment horizontal="left" indent="1"/>
      <protection locked="0"/>
    </xf>
    <xf numFmtId="0" fontId="32" fillId="0" borderId="0" xfId="3" applyFont="1" applyFill="1" applyBorder="1" applyAlignment="1" applyProtection="1">
      <alignment horizontal="center" vertical="top"/>
      <protection locked="0"/>
    </xf>
    <xf numFmtId="0" fontId="0" fillId="0" borderId="0" xfId="0" applyAlignment="1" applyProtection="1">
      <alignment horizontal="center" vertical="top"/>
      <protection locked="0"/>
    </xf>
    <xf numFmtId="0" fontId="37" fillId="2" borderId="0" xfId="0" applyFont="1" applyFill="1" applyAlignment="1" applyProtection="1">
      <alignment horizontal="left" indent="1"/>
      <protection locked="0"/>
    </xf>
    <xf numFmtId="0" fontId="35" fillId="0" borderId="0" xfId="0" applyFont="1" applyAlignment="1" applyProtection="1">
      <alignment horizontal="left" vertical="top" wrapText="1" indent="2"/>
      <protection locked="0"/>
    </xf>
    <xf numFmtId="0" fontId="40" fillId="0" borderId="0" xfId="0" applyFont="1" applyAlignment="1" applyProtection="1">
      <alignment horizontal="left" vertical="top" wrapText="1" indent="1"/>
      <protection locked="0"/>
    </xf>
    <xf numFmtId="0" fontId="18" fillId="0" borderId="0" xfId="0" applyFont="1" applyAlignment="1" applyProtection="1">
      <alignment horizontal="left" vertical="top" wrapText="1"/>
      <protection locked="0"/>
    </xf>
    <xf numFmtId="0" fontId="0" fillId="0" borderId="0" xfId="0" applyAlignment="1" applyProtection="1">
      <alignment horizontal="left"/>
      <protection locked="0"/>
    </xf>
    <xf numFmtId="0" fontId="18" fillId="2" borderId="82" xfId="0" applyFont="1" applyFill="1" applyBorder="1" applyAlignment="1" applyProtection="1">
      <alignment horizontal="left" vertical="top" wrapText="1" indent="2"/>
      <protection locked="0"/>
    </xf>
    <xf numFmtId="0" fontId="0" fillId="0" borderId="82" xfId="0" applyBorder="1" applyAlignment="1" applyProtection="1">
      <alignment horizontal="left" vertical="top" wrapText="1" indent="2"/>
      <protection locked="0"/>
    </xf>
    <xf numFmtId="0" fontId="37" fillId="2" borderId="0" xfId="0" applyFont="1" applyFill="1" applyAlignment="1" applyProtection="1">
      <alignment horizontal="left" vertical="center" indent="1"/>
      <protection locked="0"/>
    </xf>
    <xf numFmtId="0" fontId="50" fillId="0" borderId="0" xfId="0" applyFont="1" applyAlignment="1" applyProtection="1">
      <alignment horizontal="left" vertical="center" indent="1"/>
      <protection locked="0"/>
    </xf>
    <xf numFmtId="0" fontId="37" fillId="2" borderId="0" xfId="0" applyFont="1" applyFill="1" applyAlignment="1" applyProtection="1">
      <alignment horizontal="left" wrapText="1" indent="1"/>
      <protection locked="0"/>
    </xf>
    <xf numFmtId="0" fontId="37" fillId="2" borderId="95" xfId="0" applyFont="1" applyFill="1" applyBorder="1" applyAlignment="1" applyProtection="1">
      <alignment horizontal="left" vertical="center" indent="1"/>
      <protection locked="0"/>
    </xf>
    <xf numFmtId="0" fontId="4" fillId="6" borderId="27" xfId="0" applyFont="1" applyFill="1" applyBorder="1" applyAlignment="1" applyProtection="1">
      <alignment horizontal="center" vertical="center"/>
      <protection locked="0"/>
    </xf>
    <xf numFmtId="0" fontId="4" fillId="6" borderId="30" xfId="0" applyFont="1" applyFill="1" applyBorder="1" applyAlignment="1" applyProtection="1">
      <alignment horizontal="center" vertical="center"/>
      <protection locked="0"/>
    </xf>
    <xf numFmtId="0" fontId="4" fillId="6" borderId="22" xfId="0" applyFont="1" applyFill="1" applyBorder="1" applyAlignment="1" applyProtection="1">
      <alignment horizontal="center" vertical="center"/>
      <protection locked="0"/>
    </xf>
    <xf numFmtId="0" fontId="43" fillId="0" borderId="0" xfId="0" applyFont="1" applyAlignment="1">
      <alignment horizontal="right" vertical="center"/>
    </xf>
    <xf numFmtId="0" fontId="23" fillId="0" borderId="0" xfId="0" applyFont="1" applyAlignment="1" applyProtection="1">
      <alignment horizontal="right" vertical="center"/>
      <protection locked="0"/>
    </xf>
    <xf numFmtId="49" fontId="24" fillId="10" borderId="30" xfId="0" applyNumberFormat="1" applyFont="1" applyFill="1" applyBorder="1" applyAlignment="1" applyProtection="1">
      <alignment horizontal="left" vertical="center"/>
      <protection locked="0"/>
    </xf>
    <xf numFmtId="49" fontId="24" fillId="10" borderId="30" xfId="0" applyNumberFormat="1" applyFont="1" applyFill="1" applyBorder="1" applyAlignment="1" applyProtection="1">
      <alignment vertical="center"/>
      <protection locked="0"/>
    </xf>
    <xf numFmtId="0" fontId="23" fillId="0" borderId="0" xfId="0" applyFont="1" applyAlignment="1" applyProtection="1">
      <alignment horizontal="left" vertical="center"/>
      <protection locked="0"/>
    </xf>
    <xf numFmtId="49" fontId="24" fillId="10" borderId="2" xfId="0" applyNumberFormat="1" applyFont="1" applyFill="1" applyBorder="1" applyAlignment="1" applyProtection="1">
      <alignment horizontal="left" vertical="center"/>
      <protection locked="0"/>
    </xf>
    <xf numFmtId="49" fontId="15" fillId="10" borderId="2" xfId="0" applyNumberFormat="1" applyFont="1" applyFill="1" applyBorder="1" applyAlignment="1" applyProtection="1">
      <alignment horizontal="left" vertical="center" wrapText="1"/>
      <protection locked="0"/>
    </xf>
    <xf numFmtId="0" fontId="0" fillId="0" borderId="0" xfId="0" applyAlignment="1" applyProtection="1">
      <alignment horizontal="right" vertical="center"/>
      <protection locked="0"/>
    </xf>
    <xf numFmtId="0" fontId="0" fillId="0" borderId="76" xfId="0" applyBorder="1" applyAlignment="1">
      <alignment horizontal="center" vertical="center"/>
    </xf>
    <xf numFmtId="0" fontId="0" fillId="0" borderId="0" xfId="0" applyAlignment="1">
      <alignment vertical="center"/>
    </xf>
    <xf numFmtId="0" fontId="0" fillId="0" borderId="75" xfId="0" applyBorder="1" applyAlignment="1">
      <alignment vertical="center"/>
    </xf>
    <xf numFmtId="0" fontId="4" fillId="0" borderId="77"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79" xfId="0" applyFont="1" applyBorder="1" applyAlignment="1" applyProtection="1">
      <alignment horizontal="left" vertical="center" wrapText="1"/>
      <protection locked="0"/>
    </xf>
    <xf numFmtId="0" fontId="23" fillId="2" borderId="76" xfId="0" applyFont="1" applyFill="1" applyBorder="1" applyAlignment="1" applyProtection="1">
      <alignment horizontal="left" vertical="center" wrapText="1"/>
      <protection locked="0"/>
    </xf>
    <xf numFmtId="0" fontId="23" fillId="2" borderId="0" xfId="0" applyFont="1" applyFill="1" applyAlignment="1" applyProtection="1">
      <alignment horizontal="left" vertical="center" wrapText="1"/>
      <protection locked="0"/>
    </xf>
    <xf numFmtId="0" fontId="23" fillId="2" borderId="75" xfId="0" applyFont="1" applyFill="1" applyBorder="1" applyAlignment="1" applyProtection="1">
      <alignment horizontal="left" vertical="center" wrapText="1"/>
      <protection locked="0"/>
    </xf>
    <xf numFmtId="0" fontId="4" fillId="2" borderId="76"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4" fillId="2" borderId="75" xfId="0" applyFont="1" applyFill="1" applyBorder="1" applyAlignment="1" applyProtection="1">
      <alignment vertical="center" wrapText="1"/>
      <protection locked="0"/>
    </xf>
    <xf numFmtId="49" fontId="24" fillId="10" borderId="30" xfId="0" applyNumberFormat="1"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23" fillId="0" borderId="0" xfId="0" applyFont="1" applyAlignment="1" applyProtection="1">
      <alignment horizontal="center" vertical="center"/>
      <protection locked="0"/>
    </xf>
    <xf numFmtId="166" fontId="24" fillId="10" borderId="30" xfId="0" applyNumberFormat="1" applyFont="1" applyFill="1" applyBorder="1" applyAlignment="1" applyProtection="1">
      <alignment horizontal="center" vertical="center"/>
      <protection locked="0"/>
    </xf>
    <xf numFmtId="166" fontId="24" fillId="10" borderId="2" xfId="0" applyNumberFormat="1" applyFont="1" applyFill="1" applyBorder="1" applyAlignment="1" applyProtection="1">
      <alignment horizontal="center" vertical="center"/>
      <protection locked="0"/>
    </xf>
    <xf numFmtId="0" fontId="24" fillId="3" borderId="76" xfId="0" applyFont="1" applyFill="1" applyBorder="1" applyAlignment="1">
      <alignment vertical="center" wrapText="1"/>
    </xf>
    <xf numFmtId="0" fontId="0" fillId="0" borderId="0" xfId="0" applyAlignment="1">
      <alignment vertical="center" wrapText="1"/>
    </xf>
    <xf numFmtId="0" fontId="0" fillId="0" borderId="75" xfId="0" applyBorder="1" applyAlignment="1">
      <alignment vertical="center" wrapText="1"/>
    </xf>
    <xf numFmtId="0" fontId="24" fillId="10" borderId="74" xfId="0" applyFont="1" applyFill="1" applyBorder="1" applyAlignment="1" applyProtection="1">
      <alignment horizontal="center"/>
      <protection locked="0"/>
    </xf>
    <xf numFmtId="0" fontId="24" fillId="10" borderId="14" xfId="0" applyFont="1" applyFill="1" applyBorder="1" applyAlignment="1" applyProtection="1">
      <alignment horizontal="center"/>
      <protection locked="0"/>
    </xf>
    <xf numFmtId="0" fontId="0" fillId="0" borderId="76" xfId="0" applyBorder="1" applyAlignment="1" applyProtection="1">
      <alignment vertical="center"/>
      <protection locked="0"/>
    </xf>
    <xf numFmtId="0" fontId="0" fillId="10" borderId="74" xfId="0" applyFill="1" applyBorder="1" applyAlignment="1" applyProtection="1">
      <alignment horizontal="center" vertical="center"/>
      <protection locked="0"/>
    </xf>
    <xf numFmtId="0" fontId="0" fillId="10" borderId="14" xfId="0" applyFill="1" applyBorder="1" applyAlignment="1" applyProtection="1">
      <alignment horizontal="center" vertical="center"/>
      <protection locked="0"/>
    </xf>
    <xf numFmtId="0" fontId="5" fillId="0" borderId="88" xfId="0" applyFont="1" applyBorder="1" applyAlignment="1">
      <alignment horizontal="center" vertical="top"/>
    </xf>
    <xf numFmtId="0" fontId="5" fillId="0" borderId="86" xfId="0" applyFont="1" applyBorder="1" applyAlignment="1">
      <alignment horizontal="center" vertical="top"/>
    </xf>
    <xf numFmtId="0" fontId="0" fillId="3" borderId="0" xfId="0" applyFill="1" applyAlignment="1">
      <alignment vertical="center" wrapText="1"/>
    </xf>
    <xf numFmtId="0" fontId="0" fillId="3" borderId="75" xfId="0" applyFill="1" applyBorder="1" applyAlignment="1">
      <alignment vertical="center" wrapText="1"/>
    </xf>
    <xf numFmtId="0" fontId="15" fillId="10" borderId="14" xfId="0" applyFont="1" applyFill="1" applyBorder="1" applyAlignment="1" applyProtection="1">
      <alignment horizontal="center" vertical="center" wrapText="1"/>
      <protection locked="0"/>
    </xf>
    <xf numFmtId="49" fontId="15" fillId="10" borderId="14" xfId="0" applyNumberFormat="1" applyFont="1" applyFill="1" applyBorder="1" applyAlignment="1" applyProtection="1">
      <alignment horizontal="center" vertical="center" wrapText="1"/>
      <protection locked="0"/>
    </xf>
    <xf numFmtId="0" fontId="0" fillId="8" borderId="65" xfId="0" applyFill="1" applyBorder="1" applyAlignment="1" applyProtection="1">
      <alignment horizontal="center" vertical="center"/>
      <protection locked="0"/>
    </xf>
    <xf numFmtId="0" fontId="0" fillId="8" borderId="22" xfId="0" applyFill="1" applyBorder="1" applyAlignment="1" applyProtection="1">
      <alignment horizontal="center" vertical="center"/>
      <protection locked="0"/>
    </xf>
    <xf numFmtId="49" fontId="15" fillId="8" borderId="14" xfId="0" applyNumberFormat="1" applyFont="1" applyFill="1" applyBorder="1" applyAlignment="1" applyProtection="1">
      <alignment horizontal="center" vertical="center"/>
      <protection locked="0"/>
    </xf>
    <xf numFmtId="0" fontId="5" fillId="0" borderId="82" xfId="0" applyFont="1" applyBorder="1" applyAlignment="1">
      <alignment horizontal="center" vertical="top"/>
    </xf>
    <xf numFmtId="49" fontId="15" fillId="8" borderId="14" xfId="0" applyNumberFormat="1" applyFont="1" applyFill="1" applyBorder="1" applyAlignment="1" applyProtection="1">
      <alignment horizontal="center" vertical="center" shrinkToFit="1"/>
      <protection locked="0"/>
    </xf>
    <xf numFmtId="0" fontId="0" fillId="0" borderId="76" xfId="0" applyBorder="1" applyAlignment="1">
      <alignment vertical="center"/>
    </xf>
    <xf numFmtId="0" fontId="3" fillId="2" borderId="81" xfId="0" applyFont="1" applyFill="1" applyBorder="1" applyAlignment="1">
      <alignment horizontal="left" vertical="center"/>
    </xf>
    <xf numFmtId="0" fontId="0" fillId="0" borderId="82" xfId="0" applyBorder="1" applyAlignment="1">
      <alignment vertical="center"/>
    </xf>
    <xf numFmtId="0" fontId="0" fillId="0" borderId="83" xfId="0" applyBorder="1" applyAlignment="1">
      <alignment vertical="center"/>
    </xf>
    <xf numFmtId="0" fontId="5" fillId="0" borderId="0" xfId="0" applyFont="1" applyAlignment="1">
      <alignment horizontal="center" vertical="top"/>
    </xf>
    <xf numFmtId="0" fontId="5" fillId="0" borderId="76" xfId="0" applyFont="1" applyBorder="1" applyAlignment="1">
      <alignment horizontal="center" vertical="top"/>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8" fillId="0" borderId="73" xfId="4" applyFont="1" applyBorder="1" applyAlignment="1">
      <alignment horizontal="center"/>
    </xf>
    <xf numFmtId="0" fontId="8" fillId="0" borderId="52" xfId="4" applyFont="1" applyBorder="1" applyAlignment="1">
      <alignment horizontal="center"/>
    </xf>
    <xf numFmtId="0" fontId="8" fillId="0" borderId="6" xfId="4" applyFont="1" applyBorder="1" applyAlignment="1">
      <alignment horizontal="center" vertical="center" textRotation="90"/>
    </xf>
    <xf numFmtId="0" fontId="8" fillId="0" borderId="3" xfId="4" applyFont="1" applyBorder="1" applyAlignment="1">
      <alignment horizontal="center" vertical="center" textRotation="90"/>
    </xf>
    <xf numFmtId="0" fontId="8" fillId="0" borderId="18" xfId="4" applyFont="1" applyBorder="1" applyAlignment="1">
      <alignment horizontal="center" wrapText="1"/>
    </xf>
    <xf numFmtId="0" fontId="8" fillId="0" borderId="20" xfId="4" applyFont="1" applyBorder="1" applyAlignment="1">
      <alignment horizontal="center" wrapText="1"/>
    </xf>
    <xf numFmtId="0" fontId="8" fillId="0" borderId="29" xfId="0" applyFont="1" applyBorder="1" applyAlignment="1">
      <alignment horizontal="center" wrapText="1"/>
    </xf>
    <xf numFmtId="0" fontId="8" fillId="0" borderId="28" xfId="0" applyFont="1" applyBorder="1" applyAlignment="1">
      <alignment horizontal="center" wrapText="1"/>
    </xf>
    <xf numFmtId="0" fontId="4" fillId="6" borderId="27"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22" xfId="0" applyFont="1" applyFill="1" applyBorder="1" applyAlignment="1">
      <alignment horizontal="center" vertical="center"/>
    </xf>
    <xf numFmtId="6" fontId="1" fillId="10" borderId="27" xfId="0" applyNumberFormat="1" applyFont="1" applyFill="1" applyBorder="1" applyAlignment="1" applyProtection="1">
      <alignment horizontal="center" vertical="center" wrapText="1"/>
      <protection locked="0"/>
    </xf>
    <xf numFmtId="6" fontId="1" fillId="10" borderId="21" xfId="0" applyNumberFormat="1" applyFont="1" applyFill="1" applyBorder="1" applyAlignment="1" applyProtection="1">
      <alignment horizontal="center" vertical="center" wrapText="1"/>
      <protection locked="0"/>
    </xf>
    <xf numFmtId="0" fontId="8" fillId="0" borderId="34" xfId="0" applyFont="1" applyBorder="1" applyAlignment="1">
      <alignment horizontal="center" wrapText="1"/>
    </xf>
    <xf numFmtId="0" fontId="8" fillId="0" borderId="32" xfId="0" applyFont="1" applyBorder="1" applyAlignment="1">
      <alignment horizontal="center" wrapText="1"/>
    </xf>
    <xf numFmtId="0" fontId="1" fillId="0" borderId="0" xfId="4" applyAlignment="1">
      <alignment horizontal="left" vertical="center"/>
    </xf>
    <xf numFmtId="0" fontId="1" fillId="0" borderId="9" xfId="4" applyBorder="1" applyAlignment="1">
      <alignment horizontal="left" vertical="center"/>
    </xf>
    <xf numFmtId="0" fontId="1" fillId="10" borderId="27" xfId="0" applyFont="1" applyFill="1" applyBorder="1" applyAlignment="1" applyProtection="1">
      <alignment horizontal="left" vertical="center" wrapText="1" indent="1"/>
      <protection locked="0"/>
    </xf>
    <xf numFmtId="0" fontId="1" fillId="10" borderId="30" xfId="0" applyFont="1" applyFill="1" applyBorder="1" applyAlignment="1" applyProtection="1">
      <alignment horizontal="left" vertical="center" wrapText="1" indent="1"/>
      <protection locked="0"/>
    </xf>
    <xf numFmtId="0" fontId="1" fillId="10" borderId="22" xfId="0" applyFont="1" applyFill="1" applyBorder="1" applyAlignment="1" applyProtection="1">
      <alignment horizontal="left" vertical="center" wrapText="1" indent="1"/>
      <protection locked="0"/>
    </xf>
    <xf numFmtId="0" fontId="5" fillId="0" borderId="0" xfId="4" applyFont="1" applyAlignment="1">
      <alignment horizontal="left" vertical="center"/>
    </xf>
    <xf numFmtId="0" fontId="5" fillId="0" borderId="11" xfId="4" applyFont="1" applyBorder="1" applyAlignment="1">
      <alignment vertical="center" wrapText="1"/>
    </xf>
    <xf numFmtId="0" fontId="5" fillId="0" borderId="8" xfId="4" applyFont="1" applyBorder="1" applyAlignment="1">
      <alignment vertical="center" wrapText="1"/>
    </xf>
    <xf numFmtId="0" fontId="5" fillId="0" borderId="19" xfId="4" applyFont="1" applyBorder="1" applyAlignment="1">
      <alignment horizontal="left" vertical="center"/>
    </xf>
    <xf numFmtId="0" fontId="5" fillId="0" borderId="8" xfId="4" applyFont="1" applyBorder="1" applyAlignment="1">
      <alignment horizontal="left" vertical="center"/>
    </xf>
    <xf numFmtId="0" fontId="1" fillId="0" borderId="16" xfId="4" applyBorder="1" applyAlignment="1">
      <alignment horizontal="left" vertical="center"/>
    </xf>
    <xf numFmtId="0" fontId="5" fillId="0" borderId="11" xfId="4" applyFont="1" applyBorder="1" applyAlignment="1">
      <alignment horizontal="left" vertical="center"/>
    </xf>
    <xf numFmtId="6" fontId="5" fillId="0" borderId="85" xfId="0" applyNumberFormat="1" applyFont="1" applyBorder="1" applyAlignment="1">
      <alignment horizontal="center" vertical="center" wrapText="1"/>
    </xf>
    <xf numFmtId="6" fontId="5" fillId="0" borderId="89" xfId="0" applyNumberFormat="1" applyFont="1" applyBorder="1" applyAlignment="1">
      <alignment horizontal="center" vertical="center" wrapText="1"/>
    </xf>
    <xf numFmtId="0" fontId="5" fillId="0" borderId="85" xfId="0" applyFont="1" applyBorder="1" applyAlignment="1">
      <alignment horizontal="right" vertical="center" wrapText="1"/>
    </xf>
    <xf numFmtId="0" fontId="5" fillId="0" borderId="86" xfId="0" applyFont="1" applyBorder="1" applyAlignment="1">
      <alignment horizontal="right" vertical="center" wrapText="1"/>
    </xf>
    <xf numFmtId="0" fontId="5" fillId="0" borderId="87" xfId="0" applyFont="1" applyBorder="1" applyAlignment="1">
      <alignment horizontal="right" vertical="center" wrapText="1"/>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6" xfId="0" applyFont="1" applyBorder="1" applyAlignment="1">
      <alignment horizontal="center" wrapText="1"/>
    </xf>
    <xf numFmtId="0" fontId="5" fillId="0" borderId="58" xfId="0" applyFont="1" applyBorder="1" applyAlignment="1">
      <alignment horizontal="center" wrapText="1"/>
    </xf>
    <xf numFmtId="0" fontId="5" fillId="0" borderId="27" xfId="4" applyFont="1" applyBorder="1" applyAlignment="1">
      <alignment horizontal="left" vertical="center" indent="1"/>
    </xf>
    <xf numFmtId="0" fontId="5" fillId="0" borderId="22" xfId="4" applyFont="1" applyBorder="1" applyAlignment="1">
      <alignment horizontal="left" vertical="center" indent="1"/>
    </xf>
    <xf numFmtId="0" fontId="5" fillId="0" borderId="26" xfId="4" applyFont="1" applyBorder="1" applyAlignment="1">
      <alignment horizontal="left" vertical="center" indent="1"/>
    </xf>
    <xf numFmtId="0" fontId="5" fillId="0" borderId="10" xfId="4" applyFont="1" applyBorder="1" applyAlignment="1">
      <alignment horizontal="left" vertical="center" indent="1"/>
    </xf>
    <xf numFmtId="0" fontId="10" fillId="0" borderId="0" xfId="4" applyFont="1" applyAlignment="1">
      <alignment horizontal="left" vertical="center"/>
    </xf>
    <xf numFmtId="0" fontId="9" fillId="0" borderId="9" xfId="4" applyFont="1" applyBorder="1" applyAlignment="1">
      <alignment horizontal="left" vertical="center"/>
    </xf>
    <xf numFmtId="0" fontId="5" fillId="0" borderId="26" xfId="4" applyFont="1" applyBorder="1" applyAlignment="1">
      <alignment horizontal="left" vertical="center" wrapText="1" indent="1"/>
    </xf>
    <xf numFmtId="0" fontId="5" fillId="0" borderId="10" xfId="4" applyFont="1" applyBorder="1" applyAlignment="1">
      <alignment horizontal="left" vertical="center" wrapText="1" indent="1"/>
    </xf>
    <xf numFmtId="0" fontId="5" fillId="0" borderId="54" xfId="0" applyFont="1" applyBorder="1" applyAlignment="1">
      <alignment horizontal="right" vertical="center" wrapText="1"/>
    </xf>
    <xf numFmtId="0" fontId="5" fillId="0" borderId="55" xfId="0" applyFont="1" applyBorder="1" applyAlignment="1">
      <alignment horizontal="right" vertical="center" wrapText="1"/>
    </xf>
    <xf numFmtId="0" fontId="5" fillId="0" borderId="43" xfId="0" applyFont="1" applyBorder="1" applyAlignment="1">
      <alignment horizontal="right" vertical="center" wrapText="1"/>
    </xf>
    <xf numFmtId="6" fontId="5" fillId="0" borderId="54" xfId="0" applyNumberFormat="1" applyFont="1" applyBorder="1" applyAlignment="1">
      <alignment horizontal="center" vertical="center" wrapText="1"/>
    </xf>
    <xf numFmtId="6" fontId="5" fillId="0" borderId="49" xfId="0" applyNumberFormat="1" applyFont="1" applyBorder="1" applyAlignment="1">
      <alignment horizontal="center" vertical="center" wrapText="1"/>
    </xf>
    <xf numFmtId="0" fontId="27" fillId="0" borderId="31" xfId="4" applyFont="1" applyBorder="1" applyAlignment="1">
      <alignment horizontal="center"/>
    </xf>
    <xf numFmtId="0" fontId="27" fillId="0" borderId="32" xfId="4" applyFont="1" applyBorder="1" applyAlignment="1">
      <alignment horizontal="center"/>
    </xf>
    <xf numFmtId="0" fontId="5" fillId="0" borderId="0" xfId="4" applyFont="1" applyAlignment="1">
      <alignment horizontal="right" vertical="center"/>
    </xf>
    <xf numFmtId="0" fontId="8" fillId="0" borderId="12" xfId="0" applyFont="1" applyBorder="1" applyAlignment="1">
      <alignment horizontal="center" wrapText="1"/>
    </xf>
    <xf numFmtId="0" fontId="8" fillId="0" borderId="13" xfId="0" applyFont="1" applyBorder="1" applyAlignment="1">
      <alignment horizontal="center" wrapText="1"/>
    </xf>
    <xf numFmtId="0" fontId="1" fillId="0" borderId="2" xfId="4" applyBorder="1" applyAlignment="1">
      <alignment horizontal="center" vertical="center"/>
    </xf>
    <xf numFmtId="0" fontId="1" fillId="0" borderId="30" xfId="4" applyBorder="1" applyAlignment="1">
      <alignment horizontal="center" vertical="center"/>
    </xf>
    <xf numFmtId="0" fontId="1" fillId="0" borderId="55" xfId="4" applyBorder="1" applyAlignment="1">
      <alignment horizontal="center" vertical="center"/>
    </xf>
    <xf numFmtId="0" fontId="8" fillId="0" borderId="18" xfId="0" applyFont="1" applyBorder="1" applyAlignment="1">
      <alignment horizontal="center" wrapText="1"/>
    </xf>
    <xf numFmtId="0" fontId="8" fillId="0" borderId="20" xfId="0" applyFont="1" applyBorder="1" applyAlignment="1">
      <alignment horizontal="center" wrapText="1"/>
    </xf>
    <xf numFmtId="0" fontId="8" fillId="0" borderId="8" xfId="0" applyFont="1" applyBorder="1" applyAlignment="1">
      <alignment horizontal="center" wrapText="1"/>
    </xf>
    <xf numFmtId="0" fontId="8" fillId="0" borderId="10" xfId="0" applyFont="1" applyBorder="1" applyAlignment="1">
      <alignment horizontal="center" wrapText="1"/>
    </xf>
    <xf numFmtId="0" fontId="5" fillId="0" borderId="19" xfId="4" applyFont="1" applyBorder="1" applyAlignment="1">
      <alignment horizontal="right" vertical="center"/>
    </xf>
    <xf numFmtId="0" fontId="5" fillId="0" borderId="1" xfId="4" applyFont="1" applyBorder="1" applyAlignment="1">
      <alignment horizontal="right" vertical="center"/>
    </xf>
    <xf numFmtId="0" fontId="5" fillId="0" borderId="53" xfId="0" applyFont="1" applyBorder="1" applyAlignment="1">
      <alignment horizontal="center" textRotation="90"/>
    </xf>
    <xf numFmtId="0" fontId="5" fillId="0" borderId="3" xfId="0" applyFont="1" applyBorder="1" applyAlignment="1">
      <alignment horizontal="center" textRotation="90"/>
    </xf>
    <xf numFmtId="0" fontId="5" fillId="0" borderId="57" xfId="0" applyFont="1" applyBorder="1" applyAlignment="1">
      <alignment horizontal="center" wrapText="1"/>
    </xf>
    <xf numFmtId="0" fontId="5" fillId="0" borderId="46" xfId="0" applyFont="1" applyBorder="1" applyAlignment="1">
      <alignment horizontal="center" wrapText="1"/>
    </xf>
    <xf numFmtId="0" fontId="5" fillId="0" borderId="60" xfId="4" applyFont="1" applyBorder="1" applyAlignment="1">
      <alignment horizontal="left" vertical="center" indent="1"/>
    </xf>
    <xf numFmtId="0" fontId="5" fillId="0" borderId="47" xfId="4" applyFont="1" applyBorder="1" applyAlignment="1">
      <alignment horizontal="left" vertical="center" indent="1"/>
    </xf>
    <xf numFmtId="0" fontId="5" fillId="0" borderId="2" xfId="4" applyFont="1" applyBorder="1" applyAlignment="1">
      <alignment horizontal="left" vertical="center" indent="1"/>
    </xf>
    <xf numFmtId="0" fontId="5" fillId="0" borderId="30" xfId="4" applyFont="1" applyBorder="1" applyAlignment="1">
      <alignment horizontal="left" vertical="center" indent="1"/>
    </xf>
    <xf numFmtId="0" fontId="8" fillId="0" borderId="11" xfId="4" applyFont="1" applyBorder="1" applyAlignment="1">
      <alignment horizontal="center"/>
    </xf>
    <xf numFmtId="0" fontId="8" fillId="0" borderId="8" xfId="4" applyFont="1" applyBorder="1" applyAlignment="1">
      <alignment horizontal="center"/>
    </xf>
    <xf numFmtId="0" fontId="8" fillId="0" borderId="26" xfId="4" applyFont="1" applyBorder="1" applyAlignment="1">
      <alignment horizontal="center"/>
    </xf>
    <xf numFmtId="0" fontId="8" fillId="0" borderId="10" xfId="4" applyFont="1" applyBorder="1" applyAlignment="1">
      <alignment horizontal="center"/>
    </xf>
    <xf numFmtId="0" fontId="1" fillId="0" borderId="0" xfId="4" applyAlignment="1" applyProtection="1">
      <alignment horizontal="left" vertical="center"/>
      <protection locked="0"/>
    </xf>
    <xf numFmtId="0" fontId="1" fillId="0" borderId="9" xfId="4" applyBorder="1" applyAlignment="1" applyProtection="1">
      <alignment horizontal="left" vertical="center"/>
      <protection locked="0"/>
    </xf>
    <xf numFmtId="0" fontId="5" fillId="0" borderId="11" xfId="4" applyFont="1" applyBorder="1" applyAlignment="1" applyProtection="1">
      <alignment horizontal="left" vertical="center"/>
      <protection locked="0"/>
    </xf>
    <xf numFmtId="0" fontId="5" fillId="0" borderId="8" xfId="4" applyFont="1" applyBorder="1" applyAlignment="1" applyProtection="1">
      <alignment horizontal="left" vertical="center"/>
      <protection locked="0"/>
    </xf>
    <xf numFmtId="0" fontId="5" fillId="0" borderId="0" xfId="4" applyFont="1" applyAlignment="1" applyProtection="1">
      <alignment horizontal="left" vertical="center"/>
      <protection locked="0"/>
    </xf>
    <xf numFmtId="0" fontId="5" fillId="0" borderId="9" xfId="4" applyFont="1" applyBorder="1" applyAlignment="1" applyProtection="1">
      <alignment horizontal="left" vertical="center"/>
      <protection locked="0"/>
    </xf>
    <xf numFmtId="0" fontId="15" fillId="0" borderId="0" xfId="1" applyNumberFormat="1" applyFont="1" applyFill="1" applyBorder="1" applyAlignment="1" applyProtection="1">
      <alignment horizontal="left" vertical="center"/>
      <protection locked="0"/>
    </xf>
    <xf numFmtId="0" fontId="15" fillId="0" borderId="9" xfId="1" applyNumberFormat="1"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2" xfId="4" applyFont="1" applyBorder="1" applyAlignment="1" applyProtection="1">
      <alignment horizontal="left" vertical="center" indent="1"/>
      <protection locked="0"/>
    </xf>
    <xf numFmtId="0" fontId="5" fillId="0" borderId="10" xfId="4" applyFont="1" applyBorder="1" applyAlignment="1" applyProtection="1">
      <alignment horizontal="left" vertical="center" indent="1"/>
      <protection locked="0"/>
    </xf>
    <xf numFmtId="0" fontId="5" fillId="0" borderId="26" xfId="0" applyFont="1" applyBorder="1" applyAlignment="1">
      <alignment vertical="center" wrapText="1"/>
    </xf>
    <xf numFmtId="0" fontId="0" fillId="0" borderId="2" xfId="0" applyBorder="1" applyAlignment="1">
      <alignment vertical="center" wrapText="1"/>
    </xf>
    <xf numFmtId="0" fontId="0" fillId="0" borderId="28" xfId="0" applyBorder="1" applyAlignment="1">
      <alignment vertical="center" wrapText="1"/>
    </xf>
    <xf numFmtId="0" fontId="5" fillId="0" borderId="11" xfId="4" applyFont="1" applyBorder="1" applyAlignment="1" applyProtection="1">
      <alignment horizontal="left" vertical="center" wrapText="1"/>
      <protection locked="0"/>
    </xf>
    <xf numFmtId="0" fontId="5" fillId="0" borderId="8" xfId="4" applyFont="1" applyBorder="1" applyAlignment="1" applyProtection="1">
      <alignment horizontal="left" vertical="center" wrapText="1"/>
      <protection locked="0"/>
    </xf>
    <xf numFmtId="0" fontId="1" fillId="0" borderId="16" xfId="1" applyNumberFormat="1" applyFont="1" applyFill="1" applyBorder="1" applyAlignment="1" applyProtection="1">
      <alignment horizontal="left" vertical="center"/>
      <protection locked="0"/>
    </xf>
    <xf numFmtId="0" fontId="1" fillId="0" borderId="9" xfId="1" applyNumberFormat="1" applyFont="1" applyFill="1" applyBorder="1" applyAlignment="1" applyProtection="1">
      <alignment horizontal="left" vertical="center"/>
      <protection locked="0"/>
    </xf>
    <xf numFmtId="0" fontId="5" fillId="0" borderId="85" xfId="0" applyFont="1" applyBorder="1" applyAlignment="1" applyProtection="1">
      <alignment horizontal="right" vertical="center" wrapText="1"/>
      <protection locked="0"/>
    </xf>
    <xf numFmtId="0" fontId="5" fillId="0" borderId="86" xfId="0" applyFont="1" applyBorder="1" applyAlignment="1" applyProtection="1">
      <alignment horizontal="right" vertical="center" wrapText="1"/>
      <protection locked="0"/>
    </xf>
    <xf numFmtId="0" fontId="5" fillId="0" borderId="87" xfId="0" applyFont="1" applyBorder="1" applyAlignment="1" applyProtection="1">
      <alignment horizontal="right" vertical="center" wrapText="1"/>
      <protection locked="0"/>
    </xf>
    <xf numFmtId="6" fontId="5" fillId="0" borderId="85" xfId="0" applyNumberFormat="1" applyFont="1" applyBorder="1" applyAlignment="1" applyProtection="1">
      <alignment horizontal="center" vertical="center" wrapText="1"/>
      <protection locked="0"/>
    </xf>
    <xf numFmtId="6" fontId="5" fillId="0" borderId="89" xfId="0" applyNumberFormat="1" applyFont="1" applyBorder="1" applyAlignment="1" applyProtection="1">
      <alignment horizontal="center" vertical="center" wrapText="1"/>
      <protection locked="0"/>
    </xf>
    <xf numFmtId="0" fontId="5" fillId="0" borderId="54" xfId="0" applyFont="1" applyBorder="1" applyAlignment="1" applyProtection="1">
      <alignment horizontal="right" vertical="center" wrapText="1"/>
      <protection locked="0"/>
    </xf>
    <xf numFmtId="0" fontId="5" fillId="0" borderId="55" xfId="0" applyFont="1" applyBorder="1" applyAlignment="1" applyProtection="1">
      <alignment horizontal="right" vertical="center" wrapText="1"/>
      <protection locked="0"/>
    </xf>
    <xf numFmtId="0" fontId="5" fillId="0" borderId="43" xfId="0" applyFont="1" applyBorder="1" applyAlignment="1" applyProtection="1">
      <alignment horizontal="right" vertical="center" wrapText="1"/>
      <protection locked="0"/>
    </xf>
    <xf numFmtId="6" fontId="5" fillId="0" borderId="54" xfId="0" applyNumberFormat="1" applyFont="1" applyBorder="1" applyAlignment="1" applyProtection="1">
      <alignment horizontal="center" vertical="center" wrapText="1"/>
      <protection locked="0"/>
    </xf>
    <xf numFmtId="6" fontId="5" fillId="0" borderId="49" xfId="0" applyNumberFormat="1"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6" xfId="4" applyFont="1" applyBorder="1" applyAlignment="1" applyProtection="1">
      <alignment horizontal="left" vertical="center" wrapText="1" indent="1"/>
      <protection locked="0"/>
    </xf>
    <xf numFmtId="0" fontId="5" fillId="0" borderId="10" xfId="4" applyFont="1" applyBorder="1" applyAlignment="1" applyProtection="1">
      <alignment horizontal="left" vertical="center" wrapText="1" indent="1"/>
      <protection locked="0"/>
    </xf>
    <xf numFmtId="0" fontId="5" fillId="0" borderId="56" xfId="0" applyFont="1" applyBorder="1" applyAlignment="1" applyProtection="1">
      <alignment horizontal="center" wrapText="1"/>
      <protection locked="0"/>
    </xf>
    <xf numFmtId="0" fontId="5" fillId="0" borderId="57" xfId="0" applyFont="1" applyBorder="1" applyAlignment="1" applyProtection="1">
      <alignment horizontal="center" wrapText="1"/>
      <protection locked="0"/>
    </xf>
    <xf numFmtId="0" fontId="5" fillId="0" borderId="46" xfId="0" applyFont="1" applyBorder="1" applyAlignment="1" applyProtection="1">
      <alignment horizontal="center" wrapText="1"/>
      <protection locked="0"/>
    </xf>
    <xf numFmtId="0" fontId="5" fillId="0" borderId="58" xfId="0" applyFont="1" applyBorder="1" applyAlignment="1" applyProtection="1">
      <alignment horizontal="center" wrapText="1"/>
      <protection locked="0"/>
    </xf>
    <xf numFmtId="0" fontId="5" fillId="0" borderId="54" xfId="4" applyFont="1" applyBorder="1" applyAlignment="1" applyProtection="1">
      <alignment horizontal="left" vertical="center" indent="1"/>
      <protection locked="0"/>
    </xf>
    <xf numFmtId="0" fontId="5" fillId="0" borderId="43" xfId="4" applyFont="1" applyBorder="1" applyAlignment="1" applyProtection="1">
      <alignment horizontal="left" vertical="center" indent="1"/>
      <protection locked="0"/>
    </xf>
    <xf numFmtId="0" fontId="1" fillId="0" borderId="2" xfId="4" quotePrefix="1" applyBorder="1" applyAlignment="1">
      <alignment horizontal="center" vertical="center"/>
    </xf>
    <xf numFmtId="0" fontId="3" fillId="0" borderId="1" xfId="0" applyFont="1" applyBorder="1" applyAlignment="1">
      <alignment horizontal="center" vertical="center"/>
    </xf>
    <xf numFmtId="0" fontId="0" fillId="0" borderId="1" xfId="0" applyBorder="1"/>
    <xf numFmtId="0" fontId="0" fillId="0" borderId="52" xfId="0" applyBorder="1" applyAlignment="1">
      <alignment horizontal="center"/>
    </xf>
    <xf numFmtId="0" fontId="5" fillId="0" borderId="0" xfId="4" applyFont="1" applyAlignment="1" applyProtection="1">
      <alignment horizontal="right" vertical="center"/>
      <protection locked="0"/>
    </xf>
    <xf numFmtId="0" fontId="5" fillId="0" borderId="0" xfId="0" applyFont="1" applyAlignment="1" applyProtection="1">
      <alignment horizontal="right" vertical="center"/>
      <protection locked="0"/>
    </xf>
    <xf numFmtId="0" fontId="8" fillId="0" borderId="12" xfId="0" applyFont="1" applyBorder="1" applyAlignment="1" applyProtection="1">
      <alignment horizontal="center" wrapText="1"/>
      <protection locked="0"/>
    </xf>
    <xf numFmtId="0" fontId="8" fillId="0" borderId="13" xfId="0" applyFont="1" applyBorder="1" applyAlignment="1" applyProtection="1">
      <alignment horizontal="center" wrapText="1"/>
      <protection locked="0"/>
    </xf>
    <xf numFmtId="0" fontId="8" fillId="0" borderId="6" xfId="4" applyFont="1" applyBorder="1" applyAlignment="1" applyProtection="1">
      <alignment horizontal="center" vertical="distributed" textRotation="90"/>
      <protection locked="0"/>
    </xf>
    <xf numFmtId="0" fontId="8" fillId="0" borderId="3" xfId="4" applyFont="1" applyBorder="1" applyAlignment="1" applyProtection="1">
      <alignment horizontal="center" vertical="distributed" textRotation="90"/>
      <protection locked="0"/>
    </xf>
    <xf numFmtId="0" fontId="8" fillId="0" borderId="11" xfId="4" applyFont="1" applyBorder="1" applyAlignment="1" applyProtection="1">
      <alignment horizontal="center"/>
      <protection locked="0"/>
    </xf>
    <xf numFmtId="0" fontId="8" fillId="0" borderId="8" xfId="4" applyFont="1" applyBorder="1" applyAlignment="1" applyProtection="1">
      <alignment horizontal="center"/>
      <protection locked="0"/>
    </xf>
    <xf numFmtId="0" fontId="8" fillId="0" borderId="26" xfId="4" applyFont="1" applyBorder="1" applyAlignment="1" applyProtection="1">
      <alignment horizontal="center"/>
      <protection locked="0"/>
    </xf>
    <xf numFmtId="0" fontId="8" fillId="0" borderId="10" xfId="4" applyFont="1" applyBorder="1" applyAlignment="1" applyProtection="1">
      <alignment horizontal="center"/>
      <protection locked="0"/>
    </xf>
    <xf numFmtId="0" fontId="8" fillId="0" borderId="18" xfId="4" applyFont="1" applyBorder="1" applyAlignment="1" applyProtection="1">
      <alignment horizontal="center" wrapText="1"/>
      <protection locked="0"/>
    </xf>
    <xf numFmtId="0" fontId="8" fillId="0" borderId="20" xfId="4" applyFont="1" applyBorder="1" applyAlignment="1" applyProtection="1">
      <alignment horizontal="center" wrapText="1"/>
      <protection locked="0"/>
    </xf>
    <xf numFmtId="0" fontId="8" fillId="0" borderId="34" xfId="0" applyFont="1" applyBorder="1" applyAlignment="1" applyProtection="1">
      <alignment horizontal="center" wrapText="1"/>
      <protection locked="0"/>
    </xf>
    <xf numFmtId="0" fontId="8" fillId="0" borderId="32" xfId="0" applyFont="1" applyBorder="1" applyAlignment="1" applyProtection="1">
      <alignment horizontal="center" wrapText="1"/>
      <protection locked="0"/>
    </xf>
    <xf numFmtId="0" fontId="8" fillId="0" borderId="34"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6"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8" fillId="0" borderId="18" xfId="0" applyFont="1" applyBorder="1" applyAlignment="1" applyProtection="1">
      <alignment horizontal="center" wrapText="1"/>
      <protection locked="0"/>
    </xf>
    <xf numFmtId="0" fontId="8" fillId="0" borderId="20" xfId="0" applyFont="1" applyBorder="1" applyAlignment="1" applyProtection="1">
      <alignment horizontal="center" wrapText="1"/>
      <protection locked="0"/>
    </xf>
    <xf numFmtId="0" fontId="8" fillId="0" borderId="6" xfId="0" applyFont="1" applyBorder="1" applyAlignment="1">
      <alignment horizontal="center" wrapText="1"/>
    </xf>
    <xf numFmtId="0" fontId="8" fillId="0" borderId="3" xfId="0" applyFont="1" applyBorder="1" applyAlignment="1">
      <alignment horizontal="center" wrapText="1"/>
    </xf>
    <xf numFmtId="0" fontId="5" fillId="0" borderId="0" xfId="4" applyFont="1" applyAlignment="1">
      <alignment horizontal="right"/>
    </xf>
    <xf numFmtId="0" fontId="4" fillId="7" borderId="27" xfId="0" applyFont="1" applyFill="1" applyBorder="1" applyAlignment="1">
      <alignment horizontal="center" vertical="center"/>
    </xf>
    <xf numFmtId="0" fontId="4" fillId="7" borderId="30" xfId="0" applyFont="1" applyFill="1" applyBorder="1" applyAlignment="1">
      <alignment horizontal="center" vertical="center"/>
    </xf>
    <xf numFmtId="0" fontId="4" fillId="7" borderId="22" xfId="0" applyFont="1" applyFill="1" applyBorder="1" applyAlignment="1">
      <alignment horizontal="center" vertical="center"/>
    </xf>
    <xf numFmtId="0" fontId="8" fillId="0" borderId="0" xfId="4" applyFont="1" applyAlignment="1">
      <alignment horizontal="right" vertical="center" indent="1"/>
    </xf>
    <xf numFmtId="0" fontId="1" fillId="0" borderId="2" xfId="4" applyBorder="1" applyAlignment="1">
      <alignment horizontal="left" vertical="center"/>
    </xf>
    <xf numFmtId="0" fontId="8" fillId="0" borderId="53" xfId="0" applyFont="1" applyBorder="1" applyAlignment="1">
      <alignment horizontal="center" vertical="center" textRotation="90"/>
    </xf>
    <xf numFmtId="0" fontId="8" fillId="0" borderId="5" xfId="0" applyFont="1" applyBorder="1" applyAlignment="1">
      <alignment horizontal="center" vertical="center" textRotation="90"/>
    </xf>
    <xf numFmtId="0" fontId="8" fillId="0" borderId="3" xfId="0" applyFont="1" applyBorder="1" applyAlignment="1">
      <alignment horizontal="center" vertical="center" textRotation="90"/>
    </xf>
    <xf numFmtId="49" fontId="9" fillId="0" borderId="57" xfId="4" applyNumberFormat="1" applyFont="1" applyBorder="1" applyAlignment="1">
      <alignment horizontal="center"/>
    </xf>
    <xf numFmtId="49" fontId="9" fillId="0" borderId="58" xfId="4" applyNumberFormat="1" applyFont="1" applyBorder="1" applyAlignment="1">
      <alignment horizontal="center"/>
    </xf>
    <xf numFmtId="0" fontId="8" fillId="0" borderId="20" xfId="0" applyFont="1" applyBorder="1" applyAlignment="1">
      <alignment horizontal="center"/>
    </xf>
    <xf numFmtId="0" fontId="8" fillId="0" borderId="19" xfId="0" applyFont="1" applyBorder="1" applyAlignment="1">
      <alignment horizontal="center"/>
    </xf>
    <xf numFmtId="0" fontId="8" fillId="0" borderId="8" xfId="0" applyFont="1" applyBorder="1" applyAlignment="1">
      <alignment horizontal="center"/>
    </xf>
    <xf numFmtId="0" fontId="8" fillId="0" borderId="2" xfId="0" applyFont="1" applyBorder="1" applyAlignment="1">
      <alignment horizontal="center"/>
    </xf>
    <xf numFmtId="0" fontId="8" fillId="0" borderId="10" xfId="0" applyFont="1" applyBorder="1" applyAlignment="1">
      <alignment horizontal="center"/>
    </xf>
    <xf numFmtId="0" fontId="8" fillId="0" borderId="62" xfId="0" applyFont="1" applyBorder="1" applyAlignment="1">
      <alignment horizontal="center"/>
    </xf>
    <xf numFmtId="0" fontId="8" fillId="0" borderId="58" xfId="0" applyFont="1" applyBorder="1" applyAlignment="1">
      <alignment horizontal="center"/>
    </xf>
    <xf numFmtId="0" fontId="1" fillId="0" borderId="30" xfId="4" applyBorder="1" applyAlignment="1">
      <alignment horizontal="left" vertical="center"/>
    </xf>
    <xf numFmtId="0" fontId="1" fillId="8" borderId="30" xfId="0" applyFont="1" applyFill="1" applyBorder="1" applyAlignment="1" applyProtection="1">
      <alignment horizontal="left" vertical="center"/>
      <protection locked="0"/>
    </xf>
    <xf numFmtId="0" fontId="36" fillId="0" borderId="0" xfId="4" applyFont="1" applyAlignment="1">
      <alignment horizontal="left" vertical="center"/>
    </xf>
    <xf numFmtId="0" fontId="36" fillId="0" borderId="9" xfId="4" applyFont="1" applyBorder="1" applyAlignment="1">
      <alignment horizontal="left" vertical="center"/>
    </xf>
    <xf numFmtId="0" fontId="10" fillId="0" borderId="16" xfId="4" applyFont="1" applyBorder="1" applyAlignment="1">
      <alignment horizontal="left" vertical="center"/>
    </xf>
    <xf numFmtId="0" fontId="10" fillId="0" borderId="9" xfId="4" applyFont="1" applyBorder="1" applyAlignment="1">
      <alignment horizontal="left" vertical="center"/>
    </xf>
    <xf numFmtId="0" fontId="1" fillId="0" borderId="0" xfId="1" applyNumberFormat="1" applyFont="1" applyFill="1" applyBorder="1" applyAlignment="1" applyProtection="1">
      <alignment horizontal="left" vertical="center"/>
    </xf>
    <xf numFmtId="0" fontId="1" fillId="0" borderId="9" xfId="1" applyNumberFormat="1" applyFont="1" applyFill="1" applyBorder="1" applyAlignment="1" applyProtection="1">
      <alignment horizontal="left" vertical="center"/>
    </xf>
    <xf numFmtId="0" fontId="5" fillId="0" borderId="11" xfId="4" applyFont="1" applyBorder="1" applyAlignment="1">
      <alignment horizontal="left" vertical="center" wrapText="1" indent="1"/>
    </xf>
    <xf numFmtId="0" fontId="5" fillId="0" borderId="8" xfId="4" applyFont="1" applyBorder="1" applyAlignment="1">
      <alignment horizontal="left" vertical="center" wrapText="1" indent="1"/>
    </xf>
    <xf numFmtId="0" fontId="1" fillId="0" borderId="0" xfId="4" applyAlignment="1">
      <alignment horizontal="left" vertical="center" wrapText="1"/>
    </xf>
    <xf numFmtId="0" fontId="1" fillId="0" borderId="9" xfId="4" applyBorder="1" applyAlignment="1">
      <alignment horizontal="left" vertical="center" wrapText="1"/>
    </xf>
    <xf numFmtId="0" fontId="5" fillId="0" borderId="9" xfId="4" applyFont="1" applyBorder="1" applyAlignment="1">
      <alignment horizontal="left" vertical="center"/>
    </xf>
    <xf numFmtId="0" fontId="15" fillId="8" borderId="64" xfId="0" applyFont="1" applyFill="1" applyBorder="1" applyAlignment="1" applyProtection="1">
      <alignment horizontal="left" vertical="top" wrapText="1"/>
      <protection locked="0"/>
    </xf>
    <xf numFmtId="0" fontId="15" fillId="8" borderId="55" xfId="0" applyFont="1" applyFill="1" applyBorder="1" applyAlignment="1" applyProtection="1">
      <alignment horizontal="left" vertical="top" wrapText="1"/>
      <protection locked="0"/>
    </xf>
    <xf numFmtId="0" fontId="15" fillId="8" borderId="49" xfId="0" applyFont="1" applyFill="1" applyBorder="1" applyAlignment="1" applyProtection="1">
      <alignment horizontal="left" vertical="top" wrapText="1"/>
      <protection locked="0"/>
    </xf>
    <xf numFmtId="0" fontId="8" fillId="0" borderId="57" xfId="0" applyFont="1" applyBorder="1" applyAlignment="1">
      <alignment horizontal="center" wrapText="1"/>
    </xf>
    <xf numFmtId="0" fontId="27" fillId="0" borderId="61" xfId="4" applyFont="1" applyBorder="1" applyAlignment="1">
      <alignment horizontal="center"/>
    </xf>
    <xf numFmtId="49" fontId="9" fillId="0" borderId="57" xfId="4" quotePrefix="1" applyNumberFormat="1" applyFont="1" applyBorder="1" applyAlignment="1">
      <alignment horizontal="center"/>
    </xf>
    <xf numFmtId="49" fontId="9" fillId="0" borderId="58" xfId="4" quotePrefix="1" applyNumberFormat="1" applyFont="1" applyBorder="1" applyAlignment="1">
      <alignment horizontal="center"/>
    </xf>
    <xf numFmtId="0" fontId="8" fillId="0" borderId="53" xfId="4" applyFont="1" applyBorder="1" applyAlignment="1">
      <alignment horizontal="center" vertical="center" textRotation="90"/>
    </xf>
    <xf numFmtId="0" fontId="8" fillId="0" borderId="5" xfId="4" applyFont="1" applyBorder="1" applyAlignment="1">
      <alignment horizontal="center" vertical="center" textRotation="90"/>
    </xf>
    <xf numFmtId="0" fontId="8" fillId="0" borderId="57" xfId="0" applyFont="1" applyBorder="1" applyAlignment="1">
      <alignment horizontal="center"/>
    </xf>
    <xf numFmtId="0" fontId="5" fillId="0" borderId="0" xfId="4" applyFont="1" applyAlignment="1">
      <alignment horizontal="right" indent="1"/>
    </xf>
    <xf numFmtId="0" fontId="8" fillId="0" borderId="19" xfId="4" applyFont="1" applyBorder="1" applyAlignment="1">
      <alignment horizontal="center"/>
    </xf>
    <xf numFmtId="0" fontId="8" fillId="0" borderId="2" xfId="4" applyFont="1" applyBorder="1" applyAlignment="1">
      <alignment horizontal="center"/>
    </xf>
    <xf numFmtId="0" fontId="5" fillId="0" borderId="55" xfId="4" applyFont="1" applyBorder="1" applyAlignment="1">
      <alignment horizontal="left" vertical="center" indent="1"/>
    </xf>
    <xf numFmtId="0" fontId="5" fillId="0" borderId="43" xfId="4" applyFont="1" applyBorder="1" applyAlignment="1">
      <alignment horizontal="left" vertical="center" indent="1"/>
    </xf>
    <xf numFmtId="0" fontId="5" fillId="0" borderId="11" xfId="4" applyFont="1" applyBorder="1" applyAlignment="1">
      <alignment horizontal="left" vertical="center" wrapText="1"/>
    </xf>
    <xf numFmtId="0" fontId="5" fillId="0" borderId="8" xfId="4" applyFont="1" applyBorder="1" applyAlignment="1">
      <alignment horizontal="left" vertical="center" wrapText="1"/>
    </xf>
    <xf numFmtId="0" fontId="1" fillId="0" borderId="16" xfId="1" applyNumberFormat="1" applyFont="1" applyFill="1" applyBorder="1" applyAlignment="1" applyProtection="1">
      <alignment horizontal="left" vertical="center"/>
    </xf>
    <xf numFmtId="0" fontId="15" fillId="0" borderId="0" xfId="1" applyNumberFormat="1" applyFont="1" applyFill="1" applyBorder="1" applyAlignment="1" applyProtection="1">
      <alignment horizontal="left" vertical="center"/>
    </xf>
    <xf numFmtId="0" fontId="15" fillId="0" borderId="9" xfId="1" applyNumberFormat="1" applyFont="1" applyFill="1" applyBorder="1" applyAlignment="1" applyProtection="1">
      <alignment horizontal="left" vertical="center"/>
    </xf>
    <xf numFmtId="166" fontId="1" fillId="0" borderId="2" xfId="4" applyNumberFormat="1" applyBorder="1" applyAlignment="1">
      <alignment horizontal="center" vertical="center"/>
    </xf>
    <xf numFmtId="0" fontId="5" fillId="0" borderId="0" xfId="0" applyFont="1" applyAlignment="1">
      <alignment horizontal="right"/>
    </xf>
    <xf numFmtId="0" fontId="8" fillId="0" borderId="63" xfId="4" applyFont="1" applyBorder="1" applyAlignment="1">
      <alignment horizontal="center" vertical="center" textRotation="90"/>
    </xf>
    <xf numFmtId="0" fontId="8" fillId="0" borderId="4" xfId="4" applyFont="1" applyBorder="1" applyAlignment="1">
      <alignment horizontal="center" vertical="center" textRotation="90"/>
    </xf>
    <xf numFmtId="0" fontId="5" fillId="0" borderId="0" xfId="4" applyFont="1" applyAlignment="1">
      <alignment horizontal="right" vertical="center" indent="1"/>
    </xf>
    <xf numFmtId="49" fontId="9" fillId="0" borderId="56" xfId="4" applyNumberFormat="1" applyFont="1" applyBorder="1" applyAlignment="1">
      <alignment horizontal="center"/>
    </xf>
    <xf numFmtId="0" fontId="1" fillId="8" borderId="64" xfId="0" applyFont="1" applyFill="1" applyBorder="1" applyAlignment="1" applyProtection="1">
      <alignment horizontal="left" vertical="top" wrapText="1"/>
      <protection locked="0"/>
    </xf>
    <xf numFmtId="0" fontId="1" fillId="8" borderId="55" xfId="0" applyFont="1" applyFill="1" applyBorder="1" applyAlignment="1" applyProtection="1">
      <alignment horizontal="left" vertical="top" wrapText="1"/>
      <protection locked="0"/>
    </xf>
    <xf numFmtId="0" fontId="1" fillId="8" borderId="49" xfId="0" applyFont="1" applyFill="1" applyBorder="1" applyAlignment="1" applyProtection="1">
      <alignment horizontal="left" vertical="top" wrapText="1"/>
      <protection locked="0"/>
    </xf>
    <xf numFmtId="0" fontId="15" fillId="0" borderId="30" xfId="4" applyFont="1" applyBorder="1" applyAlignment="1">
      <alignment horizontal="left" vertical="center"/>
    </xf>
    <xf numFmtId="6" fontId="1" fillId="10" borderId="30" xfId="0" applyNumberFormat="1" applyFont="1" applyFill="1" applyBorder="1" applyAlignment="1" applyProtection="1">
      <alignment horizontal="center" vertical="center" wrapText="1"/>
      <protection locked="0"/>
    </xf>
    <xf numFmtId="6" fontId="1" fillId="8" borderId="65" xfId="0" applyNumberFormat="1" applyFont="1" applyFill="1" applyBorder="1" applyAlignment="1" applyProtection="1">
      <alignment horizontal="center" vertical="center" wrapText="1"/>
      <protection locked="0"/>
    </xf>
    <xf numFmtId="6" fontId="1" fillId="8" borderId="22" xfId="0" applyNumberFormat="1" applyFont="1" applyFill="1" applyBorder="1" applyAlignment="1" applyProtection="1">
      <alignment horizontal="center" vertical="center" wrapText="1"/>
      <protection locked="0"/>
    </xf>
    <xf numFmtId="0" fontId="0" fillId="8" borderId="27" xfId="0" applyFill="1" applyBorder="1" applyAlignment="1" applyProtection="1">
      <alignment horizontal="left" vertical="center"/>
      <protection locked="0"/>
    </xf>
    <xf numFmtId="0" fontId="0" fillId="8" borderId="30" xfId="0" applyFill="1" applyBorder="1" applyAlignment="1" applyProtection="1">
      <alignment horizontal="left" vertical="center"/>
      <protection locked="0"/>
    </xf>
    <xf numFmtId="0" fontId="0" fillId="8" borderId="21" xfId="0" applyFill="1" applyBorder="1" applyAlignment="1" applyProtection="1">
      <alignment horizontal="left" vertical="center"/>
      <protection locked="0"/>
    </xf>
    <xf numFmtId="0" fontId="5" fillId="0" borderId="67" xfId="0" applyFont="1" applyBorder="1" applyAlignment="1">
      <alignment horizontal="center" vertical="center" wrapText="1"/>
    </xf>
    <xf numFmtId="6" fontId="5" fillId="0" borderId="86" xfId="0" applyNumberFormat="1" applyFont="1" applyBorder="1" applyAlignment="1">
      <alignment horizontal="center" vertical="center" wrapText="1"/>
    </xf>
    <xf numFmtId="0" fontId="8" fillId="0" borderId="57" xfId="4" applyFont="1" applyBorder="1" applyAlignment="1">
      <alignment horizontal="center" wrapText="1"/>
    </xf>
    <xf numFmtId="0" fontId="8" fillId="0" borderId="58" xfId="4" applyFont="1" applyBorder="1" applyAlignment="1">
      <alignment horizontal="center" wrapText="1"/>
    </xf>
    <xf numFmtId="3" fontId="8" fillId="0" borderId="61" xfId="4" applyNumberFormat="1" applyFont="1" applyBorder="1" applyAlignment="1">
      <alignment horizontal="center" wrapText="1"/>
    </xf>
    <xf numFmtId="3" fontId="8" fillId="0" borderId="31" xfId="4" applyNumberFormat="1" applyFont="1" applyBorder="1" applyAlignment="1">
      <alignment horizontal="center" wrapText="1"/>
    </xf>
    <xf numFmtId="3" fontId="8" fillId="0" borderId="32" xfId="4" applyNumberFormat="1" applyFont="1" applyBorder="1" applyAlignment="1">
      <alignment horizontal="center" wrapText="1"/>
    </xf>
    <xf numFmtId="0" fontId="8" fillId="0" borderId="62" xfId="4" applyFont="1" applyBorder="1" applyAlignment="1">
      <alignment horizontal="center" wrapText="1"/>
    </xf>
    <xf numFmtId="0" fontId="36" fillId="0" borderId="16" xfId="4" applyFont="1" applyBorder="1" applyAlignment="1">
      <alignment horizontal="left" vertical="center"/>
    </xf>
    <xf numFmtId="0" fontId="8" fillId="0" borderId="31" xfId="4" applyFont="1" applyBorder="1" applyAlignment="1">
      <alignment horizontal="center"/>
    </xf>
    <xf numFmtId="0" fontId="8" fillId="0" borderId="32" xfId="4" applyFont="1" applyBorder="1" applyAlignment="1">
      <alignment horizontal="center"/>
    </xf>
    <xf numFmtId="0" fontId="15" fillId="0" borderId="2" xfId="4" applyFont="1" applyBorder="1" applyAlignment="1">
      <alignment horizontal="left" vertical="center"/>
    </xf>
    <xf numFmtId="0" fontId="8" fillId="0" borderId="0" xfId="4" applyFont="1" applyAlignment="1">
      <alignment horizontal="left" vertical="center"/>
    </xf>
    <xf numFmtId="165" fontId="15" fillId="0" borderId="2" xfId="4" applyNumberFormat="1" applyFont="1" applyBorder="1" applyAlignment="1">
      <alignment horizontal="center" vertical="center"/>
    </xf>
    <xf numFmtId="0" fontId="8" fillId="0" borderId="51" xfId="4" applyFont="1" applyBorder="1" applyAlignment="1">
      <alignment horizontal="center"/>
    </xf>
    <xf numFmtId="0" fontId="8" fillId="0" borderId="0" xfId="4" applyFont="1" applyAlignment="1">
      <alignment horizontal="center"/>
    </xf>
    <xf numFmtId="0" fontId="8" fillId="0" borderId="9" xfId="4" applyFont="1" applyBorder="1" applyAlignment="1">
      <alignment horizontal="center"/>
    </xf>
    <xf numFmtId="0" fontId="8" fillId="0" borderId="59" xfId="4" applyFont="1" applyBorder="1" applyAlignment="1">
      <alignment horizontal="center" wrapText="1"/>
    </xf>
    <xf numFmtId="0" fontId="8" fillId="0" borderId="7" xfId="4" applyFont="1" applyBorder="1" applyAlignment="1">
      <alignment horizontal="center" wrapText="1"/>
    </xf>
    <xf numFmtId="0" fontId="1" fillId="0" borderId="16" xfId="4" applyBorder="1" applyAlignment="1">
      <alignment horizontal="left" vertical="center" wrapText="1"/>
    </xf>
    <xf numFmtId="0" fontId="5" fillId="0" borderId="85" xfId="0" applyFont="1" applyBorder="1" applyAlignment="1">
      <alignment horizontal="left"/>
    </xf>
    <xf numFmtId="0" fontId="5" fillId="0" borderId="86" xfId="0" applyFont="1" applyBorder="1" applyAlignment="1">
      <alignment horizontal="left"/>
    </xf>
    <xf numFmtId="0" fontId="5" fillId="0" borderId="89" xfId="0" applyFont="1" applyBorder="1" applyAlignment="1">
      <alignment horizontal="left"/>
    </xf>
    <xf numFmtId="0" fontId="5" fillId="0" borderId="70" xfId="0" applyFont="1" applyBorder="1" applyAlignment="1">
      <alignment horizontal="center" vertical="center" wrapText="1"/>
    </xf>
    <xf numFmtId="0" fontId="5" fillId="0" borderId="10" xfId="0" applyFont="1" applyBorder="1" applyAlignment="1">
      <alignment horizontal="center" vertical="center" wrapText="1"/>
    </xf>
    <xf numFmtId="6" fontId="5" fillId="0" borderId="55" xfId="0" applyNumberFormat="1" applyFont="1" applyBorder="1" applyAlignment="1">
      <alignment horizontal="center" vertical="center" wrapText="1"/>
    </xf>
    <xf numFmtId="6" fontId="5" fillId="0" borderId="66" xfId="0" applyNumberFormat="1" applyFont="1" applyBorder="1" applyAlignment="1">
      <alignment horizontal="center" vertical="center" wrapText="1"/>
    </xf>
    <xf numFmtId="6" fontId="5" fillId="0" borderId="43" xfId="0" applyNumberFormat="1" applyFont="1" applyBorder="1" applyAlignment="1">
      <alignment horizontal="center" vertical="center" wrapText="1"/>
    </xf>
    <xf numFmtId="0" fontId="5" fillId="0" borderId="56" xfId="0" applyFont="1" applyBorder="1" applyAlignment="1">
      <alignment horizontal="center"/>
    </xf>
    <xf numFmtId="0" fontId="5" fillId="0" borderId="57" xfId="0" applyFont="1" applyBorder="1" applyAlignment="1">
      <alignment horizontal="center"/>
    </xf>
    <xf numFmtId="0" fontId="5" fillId="0" borderId="58" xfId="0" applyFont="1" applyBorder="1" applyAlignment="1">
      <alignment horizontal="center"/>
    </xf>
    <xf numFmtId="0" fontId="0" fillId="0" borderId="13" xfId="0" applyBorder="1" applyAlignment="1">
      <alignment horizontal="left"/>
    </xf>
    <xf numFmtId="0" fontId="0" fillId="0" borderId="20" xfId="0" applyBorder="1" applyAlignment="1">
      <alignment horizontal="left"/>
    </xf>
    <xf numFmtId="0" fontId="5" fillId="0" borderId="72" xfId="0" applyFont="1" applyBorder="1" applyAlignment="1">
      <alignment horizontal="center" wrapText="1"/>
    </xf>
    <xf numFmtId="6" fontId="5" fillId="0" borderId="88" xfId="0" applyNumberFormat="1" applyFont="1" applyBorder="1" applyAlignment="1">
      <alignment horizontal="center" vertical="center" wrapText="1"/>
    </xf>
    <xf numFmtId="6" fontId="5" fillId="0" borderId="87" xfId="0" applyNumberFormat="1" applyFont="1" applyBorder="1" applyAlignment="1">
      <alignment horizontal="center" vertical="center" wrapText="1"/>
    </xf>
    <xf numFmtId="0" fontId="5" fillId="0" borderId="54" xfId="0" applyFont="1" applyBorder="1" applyAlignment="1">
      <alignment horizontal="left"/>
    </xf>
    <xf numFmtId="0" fontId="5" fillId="0" borderId="55" xfId="0" applyFont="1" applyBorder="1" applyAlignment="1">
      <alignment horizontal="left"/>
    </xf>
    <xf numFmtId="0" fontId="5" fillId="0" borderId="49" xfId="0" applyFont="1" applyBorder="1" applyAlignment="1">
      <alignment horizontal="left"/>
    </xf>
    <xf numFmtId="0" fontId="15" fillId="10" borderId="27" xfId="0" applyFont="1" applyFill="1" applyBorder="1" applyAlignment="1" applyProtection="1">
      <alignment horizontal="left" vertical="center" wrapText="1"/>
      <protection locked="0"/>
    </xf>
    <xf numFmtId="0" fontId="15" fillId="10" borderId="30" xfId="0" applyFont="1" applyFill="1" applyBorder="1" applyAlignment="1" applyProtection="1">
      <alignment horizontal="left" vertical="center" wrapText="1"/>
      <protection locked="0"/>
    </xf>
    <xf numFmtId="0" fontId="15" fillId="10" borderId="22" xfId="0" applyFont="1" applyFill="1" applyBorder="1" applyAlignment="1" applyProtection="1">
      <alignment horizontal="left" vertical="center" wrapText="1"/>
      <protection locked="0"/>
    </xf>
    <xf numFmtId="6" fontId="15" fillId="8" borderId="65" xfId="0" applyNumberFormat="1" applyFont="1" applyFill="1" applyBorder="1" applyAlignment="1" applyProtection="1">
      <alignment horizontal="center" vertical="center" wrapText="1"/>
      <protection locked="0"/>
    </xf>
    <xf numFmtId="6" fontId="15" fillId="8" borderId="22" xfId="0" applyNumberFormat="1" applyFont="1" applyFill="1" applyBorder="1" applyAlignment="1" applyProtection="1">
      <alignment horizontal="center" vertical="center" wrapText="1"/>
      <protection locked="0"/>
    </xf>
    <xf numFmtId="0" fontId="8" fillId="0" borderId="6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1" xfId="0" applyFont="1" applyBorder="1" applyAlignment="1">
      <alignment horizontal="center" vertical="center" wrapText="1"/>
    </xf>
    <xf numFmtId="6" fontId="15" fillId="10" borderId="27" xfId="0" applyNumberFormat="1" applyFont="1" applyFill="1" applyBorder="1" applyAlignment="1" applyProtection="1">
      <alignment horizontal="center" vertical="center" wrapText="1"/>
      <protection locked="0"/>
    </xf>
    <xf numFmtId="6" fontId="15" fillId="10" borderId="30" xfId="0" applyNumberFormat="1" applyFont="1" applyFill="1" applyBorder="1" applyAlignment="1" applyProtection="1">
      <alignment horizontal="center" vertical="center" wrapText="1"/>
      <protection locked="0"/>
    </xf>
    <xf numFmtId="0" fontId="15" fillId="8" borderId="14" xfId="0" applyFont="1" applyFill="1" applyBorder="1" applyAlignment="1" applyProtection="1">
      <alignment horizontal="left"/>
      <protection locked="0"/>
    </xf>
    <xf numFmtId="0" fontId="15" fillId="8" borderId="15" xfId="0" applyFont="1" applyFill="1" applyBorder="1" applyAlignment="1" applyProtection="1">
      <alignment horizontal="left"/>
      <protection locked="0"/>
    </xf>
    <xf numFmtId="0" fontId="8" fillId="0" borderId="27" xfId="0" applyFont="1" applyBorder="1" applyAlignment="1">
      <alignment horizontal="center" vertical="center" wrapText="1"/>
    </xf>
    <xf numFmtId="0" fontId="8" fillId="0" borderId="69" xfId="0" applyFont="1" applyBorder="1" applyAlignment="1">
      <alignment horizontal="center" vertical="center" wrapText="1"/>
    </xf>
    <xf numFmtId="6" fontId="15" fillId="10" borderId="69" xfId="0" applyNumberFormat="1" applyFont="1" applyFill="1" applyBorder="1" applyAlignment="1" applyProtection="1">
      <alignment horizontal="center"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10" xfId="0" applyFont="1" applyBorder="1" applyAlignment="1">
      <alignment horizontal="center" vertical="center" wrapText="1"/>
    </xf>
    <xf numFmtId="6" fontId="15" fillId="4" borderId="27" xfId="0" applyNumberFormat="1" applyFont="1" applyFill="1" applyBorder="1" applyAlignment="1" applyProtection="1">
      <alignment horizontal="center" vertical="center" wrapText="1"/>
      <protection locked="0"/>
    </xf>
    <xf numFmtId="6" fontId="15" fillId="4" borderId="30" xfId="0" applyNumberFormat="1" applyFont="1" applyFill="1" applyBorder="1" applyAlignment="1" applyProtection="1">
      <alignment horizontal="center" vertical="center" wrapText="1"/>
      <protection locked="0"/>
    </xf>
    <xf numFmtId="0" fontId="15" fillId="4" borderId="27" xfId="0" applyFont="1" applyFill="1" applyBorder="1" applyAlignment="1" applyProtection="1">
      <alignment horizontal="left" vertical="center" wrapText="1"/>
      <protection locked="0"/>
    </xf>
    <xf numFmtId="0" fontId="15" fillId="4" borderId="30" xfId="0" applyFont="1" applyFill="1" applyBorder="1" applyAlignment="1" applyProtection="1">
      <alignment horizontal="left" vertical="center" wrapText="1"/>
      <protection locked="0"/>
    </xf>
    <xf numFmtId="0" fontId="15" fillId="4" borderId="22" xfId="0" applyFont="1" applyFill="1" applyBorder="1" applyAlignment="1" applyProtection="1">
      <alignment horizontal="left" vertical="center" wrapText="1"/>
      <protection locked="0"/>
    </xf>
    <xf numFmtId="6" fontId="8" fillId="0" borderId="85" xfId="0" applyNumberFormat="1" applyFont="1" applyBorder="1" applyAlignment="1">
      <alignment horizontal="center" vertical="center" wrapText="1"/>
    </xf>
    <xf numFmtId="6" fontId="8" fillId="0" borderId="86" xfId="0" applyNumberFormat="1" applyFont="1" applyBorder="1" applyAlignment="1">
      <alignment horizontal="center" vertical="center" wrapText="1"/>
    </xf>
    <xf numFmtId="6" fontId="8" fillId="0" borderId="66" xfId="0" applyNumberFormat="1" applyFont="1" applyBorder="1" applyAlignment="1">
      <alignment horizontal="center" vertical="center" wrapText="1"/>
    </xf>
    <xf numFmtId="6" fontId="8" fillId="0" borderId="43" xfId="0" applyNumberFormat="1" applyFont="1" applyBorder="1" applyAlignment="1">
      <alignment horizontal="center" vertical="center" wrapText="1"/>
    </xf>
    <xf numFmtId="6" fontId="8" fillId="0" borderId="54" xfId="0" applyNumberFormat="1" applyFont="1" applyBorder="1" applyAlignment="1">
      <alignment horizontal="center" vertical="center" wrapText="1"/>
    </xf>
    <xf numFmtId="6" fontId="8" fillId="0" borderId="55" xfId="0" applyNumberFormat="1"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68" xfId="0" applyFont="1" applyBorder="1" applyAlignment="1">
      <alignment horizontal="center" wrapText="1"/>
    </xf>
    <xf numFmtId="0" fontId="5" fillId="0" borderId="53" xfId="4" applyFont="1" applyBorder="1" applyAlignment="1">
      <alignment horizontal="center" vertical="center" textRotation="90"/>
    </xf>
    <xf numFmtId="0" fontId="5" fillId="0" borderId="5" xfId="4" applyFont="1" applyBorder="1" applyAlignment="1">
      <alignment horizontal="center" vertical="center" textRotation="90"/>
    </xf>
    <xf numFmtId="0" fontId="5" fillId="0" borderId="3" xfId="4" applyFont="1" applyBorder="1" applyAlignment="1">
      <alignment horizontal="center" vertical="center" textRotation="90"/>
    </xf>
    <xf numFmtId="0" fontId="9" fillId="0" borderId="61" xfId="4" applyFont="1" applyBorder="1" applyAlignment="1">
      <alignment horizontal="center"/>
    </xf>
    <xf numFmtId="0" fontId="5" fillId="0" borderId="31" xfId="4" applyFont="1" applyBorder="1" applyAlignment="1">
      <alignment horizontal="center"/>
    </xf>
    <xf numFmtId="0" fontId="5" fillId="0" borderId="32" xfId="4" applyFont="1" applyBorder="1" applyAlignment="1">
      <alignment horizontal="center"/>
    </xf>
    <xf numFmtId="0" fontId="5" fillId="0" borderId="62" xfId="4" applyFont="1" applyBorder="1" applyAlignment="1">
      <alignment horizontal="center" wrapText="1"/>
    </xf>
    <xf numFmtId="0" fontId="5" fillId="0" borderId="58" xfId="4" applyFont="1" applyBorder="1" applyAlignment="1">
      <alignment horizontal="center" wrapText="1"/>
    </xf>
    <xf numFmtId="0" fontId="5" fillId="0" borderId="59" xfId="4" applyFont="1" applyBorder="1" applyAlignment="1">
      <alignment horizontal="center" wrapText="1"/>
    </xf>
    <xf numFmtId="0" fontId="5" fillId="0" borderId="7" xfId="4" applyFont="1" applyBorder="1" applyAlignment="1">
      <alignment horizontal="center" wrapText="1"/>
    </xf>
    <xf numFmtId="0" fontId="5" fillId="0" borderId="20" xfId="4" applyFont="1" applyBorder="1" applyAlignment="1">
      <alignment horizontal="center" wrapText="1"/>
    </xf>
    <xf numFmtId="0" fontId="5" fillId="0" borderId="62" xfId="4" applyFont="1" applyBorder="1" applyAlignment="1">
      <alignment horizontal="center"/>
    </xf>
    <xf numFmtId="0" fontId="5" fillId="0" borderId="58" xfId="4" applyFont="1" applyBorder="1" applyAlignment="1">
      <alignment horizontal="center"/>
    </xf>
    <xf numFmtId="0" fontId="5" fillId="0" borderId="57" xfId="4" applyFont="1" applyBorder="1" applyAlignment="1">
      <alignment horizontal="center"/>
    </xf>
    <xf numFmtId="49" fontId="15" fillId="10" borderId="2" xfId="4" applyNumberFormat="1" applyFont="1" applyFill="1" applyBorder="1" applyAlignment="1" applyProtection="1">
      <alignment horizontal="left" vertical="center"/>
      <protection locked="0"/>
    </xf>
    <xf numFmtId="165" fontId="15" fillId="10" borderId="2" xfId="4" quotePrefix="1" applyNumberFormat="1" applyFont="1" applyFill="1" applyBorder="1" applyAlignment="1" applyProtection="1">
      <alignment horizontal="center" vertical="center"/>
      <protection locked="0"/>
    </xf>
    <xf numFmtId="166" fontId="15" fillId="10" borderId="30" xfId="4" quotePrefix="1" applyNumberFormat="1" applyFont="1" applyFill="1" applyBorder="1" applyAlignment="1" applyProtection="1">
      <alignment horizontal="center" vertical="center"/>
      <protection locked="0"/>
    </xf>
    <xf numFmtId="0" fontId="8" fillId="0" borderId="36" xfId="0" applyFont="1" applyBorder="1" applyAlignment="1">
      <alignment horizontal="center"/>
    </xf>
    <xf numFmtId="0" fontId="8" fillId="0" borderId="35" xfId="0" applyFont="1" applyBorder="1" applyAlignment="1">
      <alignment horizontal="center"/>
    </xf>
    <xf numFmtId="0" fontId="5" fillId="0" borderId="51" xfId="4" applyFont="1" applyBorder="1" applyAlignment="1">
      <alignment horizontal="center"/>
    </xf>
    <xf numFmtId="0" fontId="5" fillId="0" borderId="52" xfId="4" applyFont="1" applyBorder="1" applyAlignment="1">
      <alignment horizontal="center"/>
    </xf>
    <xf numFmtId="0" fontId="5" fillId="0" borderId="0" xfId="4" applyFont="1" applyAlignment="1">
      <alignment horizontal="center"/>
    </xf>
    <xf numFmtId="0" fontId="5" fillId="0" borderId="9" xfId="4" applyFont="1" applyBorder="1" applyAlignment="1">
      <alignment horizontal="center"/>
    </xf>
    <xf numFmtId="0" fontId="5" fillId="0" borderId="2" xfId="4" applyFont="1" applyBorder="1" applyAlignment="1">
      <alignment horizontal="center"/>
    </xf>
    <xf numFmtId="0" fontId="5" fillId="0" borderId="10" xfId="4" applyFont="1" applyBorder="1" applyAlignment="1">
      <alignment horizontal="center"/>
    </xf>
    <xf numFmtId="0" fontId="8" fillId="0" borderId="53" xfId="4" applyFont="1" applyBorder="1" applyAlignment="1">
      <alignment horizontal="center" textRotation="90"/>
    </xf>
    <xf numFmtId="0" fontId="8" fillId="0" borderId="3" xfId="4" applyFont="1" applyBorder="1" applyAlignment="1">
      <alignment horizontal="center" textRotation="90"/>
    </xf>
    <xf numFmtId="165" fontId="15" fillId="10" borderId="30" xfId="4" quotePrefix="1" applyNumberFormat="1" applyFont="1" applyFill="1" applyBorder="1" applyAlignment="1" applyProtection="1">
      <alignment horizontal="center" vertical="center"/>
      <protection locked="0"/>
    </xf>
    <xf numFmtId="0" fontId="8" fillId="0" borderId="56" xfId="0" applyFont="1" applyBorder="1" applyAlignment="1">
      <alignment horizontal="center" wrapText="1"/>
    </xf>
    <xf numFmtId="0" fontId="8" fillId="0" borderId="46" xfId="0" applyFont="1" applyBorder="1" applyAlignment="1">
      <alignment horizontal="center" wrapText="1"/>
    </xf>
    <xf numFmtId="6" fontId="8" fillId="0" borderId="88" xfId="0" applyNumberFormat="1" applyFont="1" applyBorder="1" applyAlignment="1">
      <alignment horizontal="center" vertical="center" wrapText="1"/>
    </xf>
    <xf numFmtId="6" fontId="8" fillId="0" borderId="87" xfId="0" applyNumberFormat="1" applyFont="1" applyBorder="1" applyAlignment="1">
      <alignment horizontal="center" vertical="center" wrapText="1"/>
    </xf>
    <xf numFmtId="0" fontId="15" fillId="8" borderId="27" xfId="0" applyFont="1" applyFill="1" applyBorder="1" applyAlignment="1" applyProtection="1">
      <alignment horizontal="left"/>
      <protection locked="0"/>
    </xf>
    <xf numFmtId="0" fontId="15" fillId="8" borderId="30" xfId="0" applyFont="1" applyFill="1" applyBorder="1" applyAlignment="1" applyProtection="1">
      <alignment horizontal="left"/>
      <protection locked="0"/>
    </xf>
    <xf numFmtId="0" fontId="15" fillId="8" borderId="21" xfId="0" applyFont="1" applyFill="1" applyBorder="1" applyAlignment="1" applyProtection="1">
      <alignment horizontal="left"/>
      <protection locked="0"/>
    </xf>
    <xf numFmtId="0" fontId="8" fillId="0" borderId="13" xfId="0" applyFont="1" applyBorder="1" applyAlignment="1">
      <alignment horizontal="center" vertical="center"/>
    </xf>
    <xf numFmtId="0" fontId="8" fillId="0" borderId="20" xfId="0" applyFont="1" applyBorder="1" applyAlignment="1">
      <alignment horizontal="center" vertical="center"/>
    </xf>
    <xf numFmtId="0" fontId="8" fillId="0" borderId="7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85" xfId="0" applyFont="1" applyBorder="1" applyAlignment="1">
      <alignment horizontal="center"/>
    </xf>
    <xf numFmtId="0" fontId="8" fillId="0" borderId="86" xfId="0" applyFont="1" applyBorder="1" applyAlignment="1">
      <alignment horizontal="center"/>
    </xf>
    <xf numFmtId="0" fontId="8" fillId="0" borderId="89"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8" fillId="0" borderId="49" xfId="0" applyFont="1" applyBorder="1" applyAlignment="1">
      <alignment horizontal="center"/>
    </xf>
    <xf numFmtId="0" fontId="8" fillId="0" borderId="71" xfId="0" applyFont="1" applyBorder="1" applyAlignment="1">
      <alignment horizontal="center" wrapText="1"/>
    </xf>
    <xf numFmtId="0" fontId="8" fillId="0" borderId="36" xfId="0" applyFont="1" applyBorder="1" applyAlignment="1">
      <alignment horizontal="center" wrapText="1"/>
    </xf>
  </cellXfs>
  <cellStyles count="7">
    <cellStyle name="Comma" xfId="1" builtinId="3"/>
    <cellStyle name="Comma 2" xfId="2" xr:uid="{00000000-0005-0000-0000-000001000000}"/>
    <cellStyle name="Hyperlink" xfId="3" builtinId="8"/>
    <cellStyle name="Normal" xfId="0" builtinId="0"/>
    <cellStyle name="Normal 2" xfId="4" xr:uid="{00000000-0005-0000-0000-000004000000}"/>
    <cellStyle name="Normal 3" xfId="5" xr:uid="{00000000-0005-0000-0000-000005000000}"/>
    <cellStyle name="Percent" xfId="6" builtinId="5"/>
  </cellStyles>
  <dxfs count="6">
    <dxf>
      <fill>
        <gradientFill degree="90">
          <stop position="0">
            <color theme="0"/>
          </stop>
          <stop position="1">
            <color rgb="FFFF8585"/>
          </stop>
        </gradientFill>
      </fill>
      <border>
        <left style="thin">
          <color rgb="FFFF0000"/>
        </left>
        <right style="thin">
          <color rgb="FFFF0000"/>
        </right>
        <top style="thin">
          <color rgb="FFFF0000"/>
        </top>
        <bottom style="thin">
          <color rgb="FFFF0000"/>
        </bottom>
      </border>
    </dxf>
    <dxf>
      <fill>
        <gradientFill degree="90">
          <stop position="0">
            <color theme="0"/>
          </stop>
          <stop position="1">
            <color rgb="FFFF8585"/>
          </stop>
        </gradientFill>
      </fill>
      <border>
        <left style="thin">
          <color rgb="FFFF0000"/>
        </left>
        <right style="thin">
          <color rgb="FFFF0000"/>
        </right>
        <top style="thin">
          <color rgb="FFFF0000"/>
        </top>
        <bottom style="thin">
          <color rgb="FFFF0000"/>
        </bottom>
      </border>
    </dxf>
    <dxf>
      <fill>
        <gradientFill degree="90">
          <stop position="0">
            <color theme="0"/>
          </stop>
          <stop position="1">
            <color rgb="FFFF8585"/>
          </stop>
        </gradientFill>
      </fill>
    </dxf>
    <dxf>
      <fill>
        <gradientFill degree="90">
          <stop position="0">
            <color theme="0"/>
          </stop>
          <stop position="1">
            <color rgb="FFFF8585"/>
          </stop>
        </gradientFill>
      </fill>
      <border>
        <left style="thin">
          <color rgb="FFFF0000"/>
        </left>
        <right style="thin">
          <color rgb="FFFF0000"/>
        </right>
        <top style="thin">
          <color rgb="FFFF0000"/>
        </top>
        <bottom style="thin">
          <color rgb="FFFF0000"/>
        </bottom>
      </border>
    </dxf>
    <dxf>
      <fill>
        <gradientFill degree="90">
          <stop position="0">
            <color theme="0"/>
          </stop>
          <stop position="1">
            <color rgb="FFFF8585"/>
          </stop>
        </gradientFill>
      </fill>
      <border>
        <left style="thin">
          <color rgb="FFFF0000"/>
        </left>
        <right style="thin">
          <color rgb="FFFF0000"/>
        </right>
        <top style="thin">
          <color rgb="FFFF0000"/>
        </top>
        <bottom style="thin">
          <color rgb="FFFF0000"/>
        </bottom>
      </border>
    </dxf>
    <dxf>
      <fill>
        <gradientFill degree="90">
          <stop position="0">
            <color theme="0"/>
          </stop>
          <stop position="1">
            <color rgb="FFFF8585"/>
          </stop>
        </gradientFill>
      </fill>
    </dxf>
  </dxfs>
  <tableStyles count="0" defaultTableStyle="TableStyleMedium9" defaultPivotStyle="PivotStyleLight16"/>
  <colors>
    <mruColors>
      <color rgb="FFFFFF99"/>
      <color rgb="FF0000FF"/>
      <color rgb="FFEBF6F9"/>
      <color rgb="FFFFFFEB"/>
      <color rgb="FFFFFFDD"/>
      <color rgb="FFFFFFCC"/>
      <color rgb="FFCCECFF"/>
      <color rgb="FFC5F1C5"/>
      <color rgb="FFFFCCFF"/>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N$11" noThreeD="1"/>
</file>

<file path=xl/ctrlProps/ctrlProp2.xml><?xml version="1.0" encoding="utf-8"?>
<formControlPr xmlns="http://schemas.microsoft.com/office/spreadsheetml/2009/9/main" objectType="CheckBox" fmlaLink="$O$11" noThreeD="1"/>
</file>

<file path=xl/ctrlProps/ctrlProp3.xml><?xml version="1.0" encoding="utf-8"?>
<formControlPr xmlns="http://schemas.microsoft.com/office/spreadsheetml/2009/9/main" objectType="CheckBox" fmlaLink="$P$11" noThreeD="1"/>
</file>

<file path=xl/ctrlProps/ctrlProp4.xml><?xml version="1.0" encoding="utf-8"?>
<formControlPr xmlns="http://schemas.microsoft.com/office/spreadsheetml/2009/9/main" objectType="CheckBox" fmlaLink="$Q$11" noThreeD="1"/>
</file>

<file path=xl/ctrlProps/ctrlProp5.xml><?xml version="1.0" encoding="utf-8"?>
<formControlPr xmlns="http://schemas.microsoft.com/office/spreadsheetml/2009/9/main" objectType="CheckBox" fmlaLink="$J$11" noThreeD="1"/>
</file>

<file path=xl/ctrlProps/ctrlProp6.xml><?xml version="1.0" encoding="utf-8"?>
<formControlPr xmlns="http://schemas.microsoft.com/office/spreadsheetml/2009/9/main" objectType="CheckBox" fmlaLink="$J$11" noThreeD="1"/>
</file>

<file path=xl/ctrlProps/ctrlProp7.xml><?xml version="1.0" encoding="utf-8"?>
<formControlPr xmlns="http://schemas.microsoft.com/office/spreadsheetml/2009/9/main" objectType="CheckBox" fmlaLink="$N$11" noThreeD="1"/>
</file>

<file path=xl/ctrlProps/ctrlProp8.xml><?xml version="1.0" encoding="utf-8"?>
<formControlPr xmlns="http://schemas.microsoft.com/office/spreadsheetml/2009/9/main" objectType="CheckBox" fmlaLink="$P$10" noThreeD="1"/>
</file>

<file path=xl/ctrlProps/ctrlProp9.xml><?xml version="1.0" encoding="utf-8"?>
<formControlPr xmlns="http://schemas.microsoft.com/office/spreadsheetml/2009/9/main" objectType="CheckBox" fmlaLink="$Q$10" noThreeD="1"/>
</file>

<file path=xl/ctrlProps/ctrlProp10.xml><?xml version="1.0" encoding="utf-8"?>
<formControlPr xmlns="http://schemas.microsoft.com/office/spreadsheetml/2009/9/main" objectType="CheckBox" fmlaLink="$R$10" noThreeD="1"/>
</file>

<file path=xl/ctrlProps/ctrlProp11.xml><?xml version="1.0" encoding="utf-8"?>
<formControlPr xmlns="http://schemas.microsoft.com/office/spreadsheetml/2009/9/main" objectType="CheckBox" fmlaLink="$S$10" noThreeD="1"/>
</file>

<file path=xl/ctrlProps/ctrlProp12.xml><?xml version="1.0" encoding="utf-8"?>
<formControlPr xmlns="http://schemas.microsoft.com/office/spreadsheetml/2009/9/main" objectType="CheckBox" fmlaLink="$Q$10" noThreeD="1"/>
</file>

<file path=xl/ctrlProps/ctrlProp13.xml><?xml version="1.0" encoding="utf-8"?>
<formControlPr xmlns="http://schemas.microsoft.com/office/spreadsheetml/2009/9/main" objectType="CheckBox" fmlaLink="$R$10"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9</xdr:row>
          <xdr:rowOff>266700</xdr:rowOff>
        </xdr:from>
        <xdr:to>
          <xdr:col>5</xdr:col>
          <xdr:colOff>581025</xdr:colOff>
          <xdr:row>10</xdr:row>
          <xdr:rowOff>19050</xdr:rowOff>
        </xdr:to>
        <xdr:sp macro="" textlink="">
          <xdr:nvSpPr>
            <xdr:cNvPr id="4762" name="Check Box 666" descr="Checkbox is for HCD use only. &#10;AMC Fiscal Representative will use checkbox to use Proposed Cash Flow as Approved Cash Flow." hidden="1">
              <a:extLst>
                <a:ext uri="{63B3BB69-23CF-44E3-9099-C40C66FF867C}">
                  <a14:compatExt spid="_x0000_s4762"/>
                </a:ext>
                <a:ext uri="{FF2B5EF4-FFF2-40B4-BE49-F238E27FC236}">
                  <a16:creationId xmlns:a16="http://schemas.microsoft.com/office/drawing/2014/main" id="{00000000-0008-0000-04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xdr:row>
          <xdr:rowOff>257175</xdr:rowOff>
        </xdr:from>
        <xdr:to>
          <xdr:col>7</xdr:col>
          <xdr:colOff>581025</xdr:colOff>
          <xdr:row>10</xdr:row>
          <xdr:rowOff>19050</xdr:rowOff>
        </xdr:to>
        <xdr:sp macro="" textlink="">
          <xdr:nvSpPr>
            <xdr:cNvPr id="4763" name="Check Box 667" descr="Checkbox is for HCD use only. &#10;AMC Fiscal Representative will use checkbox to use Proposed Cash Flow as Approved Cash Flow." hidden="1">
              <a:extLst>
                <a:ext uri="{63B3BB69-23CF-44E3-9099-C40C66FF867C}">
                  <a14:compatExt spid="_x0000_s4763"/>
                </a:ext>
                <a:ext uri="{FF2B5EF4-FFF2-40B4-BE49-F238E27FC236}">
                  <a16:creationId xmlns:a16="http://schemas.microsoft.com/office/drawing/2014/main" id="{00000000-0008-0000-04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xdr:row>
          <xdr:rowOff>266700</xdr:rowOff>
        </xdr:from>
        <xdr:to>
          <xdr:col>9</xdr:col>
          <xdr:colOff>581025</xdr:colOff>
          <xdr:row>10</xdr:row>
          <xdr:rowOff>19050</xdr:rowOff>
        </xdr:to>
        <xdr:sp macro="" textlink="">
          <xdr:nvSpPr>
            <xdr:cNvPr id="4764" name="Check Box 668" descr="Checkbox is for HCD use only. &#10;AMC Fiscal Representative will use checkbox to use Proposed Cash Flow as Approved Cash Flow." hidden="1">
              <a:extLst>
                <a:ext uri="{63B3BB69-23CF-44E3-9099-C40C66FF867C}">
                  <a14:compatExt spid="_x0000_s4764"/>
                </a:ext>
                <a:ext uri="{FF2B5EF4-FFF2-40B4-BE49-F238E27FC236}">
                  <a16:creationId xmlns:a16="http://schemas.microsoft.com/office/drawing/2014/main" id="{00000000-0008-0000-04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xdr:row>
          <xdr:rowOff>266700</xdr:rowOff>
        </xdr:from>
        <xdr:to>
          <xdr:col>11</xdr:col>
          <xdr:colOff>581025</xdr:colOff>
          <xdr:row>10</xdr:row>
          <xdr:rowOff>19050</xdr:rowOff>
        </xdr:to>
        <xdr:sp macro="" textlink="">
          <xdr:nvSpPr>
            <xdr:cNvPr id="4765" name="Check Box 669" descr="Checkbox is for HCD use only. &#10;AMC Fiscal Representative will use checkbox to use Proposed Cash Flow as Approved Cash Flow." hidden="1">
              <a:extLst>
                <a:ext uri="{63B3BB69-23CF-44E3-9099-C40C66FF867C}">
                  <a14:compatExt spid="_x0000_s4765"/>
                </a:ext>
                <a:ext uri="{FF2B5EF4-FFF2-40B4-BE49-F238E27FC236}">
                  <a16:creationId xmlns:a16="http://schemas.microsoft.com/office/drawing/2014/main" id="{00000000-0008-0000-04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428625</xdr:colOff>
          <xdr:row>9</xdr:row>
          <xdr:rowOff>180975</xdr:rowOff>
        </xdr:from>
        <xdr:to>
          <xdr:col>6</xdr:col>
          <xdr:colOff>628650</xdr:colOff>
          <xdr:row>9</xdr:row>
          <xdr:rowOff>323850</xdr:rowOff>
        </xdr:to>
        <xdr:sp macro="" textlink="">
          <xdr:nvSpPr>
            <xdr:cNvPr id="3392" name="Check Box 320" descr="Checkbox is for HCD use only. &#10;AMC Fiscal Representative will use checkbox to apply the approved proration." hidden="1">
              <a:extLst>
                <a:ext uri="{63B3BB69-23CF-44E3-9099-C40C66FF867C}">
                  <a14:compatExt spid="_x0000_s3392"/>
                </a:ext>
                <a:ext uri="{FF2B5EF4-FFF2-40B4-BE49-F238E27FC236}">
                  <a16:creationId xmlns:a16="http://schemas.microsoft.com/office/drawing/2014/main" id="{00000000-0008-0000-05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28575</xdr:rowOff>
        </xdr:from>
        <xdr:to>
          <xdr:col>4</xdr:col>
          <xdr:colOff>0</xdr:colOff>
          <xdr:row>7</xdr:row>
          <xdr:rowOff>152400</xdr:rowOff>
        </xdr:to>
        <xdr:sp macro="" textlink="">
          <xdr:nvSpPr>
            <xdr:cNvPr id="3393" name="Check Box 321" descr="Checkbox is for HCD use only. " hidden="1">
              <a:extLst>
                <a:ext uri="{63B3BB69-23CF-44E3-9099-C40C66FF867C}">
                  <a14:compatExt spid="_x0000_s3393"/>
                </a:ext>
                <a:ext uri="{FF2B5EF4-FFF2-40B4-BE49-F238E27FC236}">
                  <a16:creationId xmlns:a16="http://schemas.microsoft.com/office/drawing/2014/main" id="{00000000-0008-0000-05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247650</xdr:colOff>
          <xdr:row>9</xdr:row>
          <xdr:rowOff>247650</xdr:rowOff>
        </xdr:from>
        <xdr:to>
          <xdr:col>8</xdr:col>
          <xdr:colOff>552450</xdr:colOff>
          <xdr:row>10</xdr:row>
          <xdr:rowOff>19050</xdr:rowOff>
        </xdr:to>
        <xdr:sp macro="" textlink="">
          <xdr:nvSpPr>
            <xdr:cNvPr id="8255" name="Check Box 63" descr="Checkbox is for HCD use only. &#10;AMC Fiscal Representative will use checkbox to apply the approved proration." hidden="1">
              <a:extLst>
                <a:ext uri="{63B3BB69-23CF-44E3-9099-C40C66FF867C}">
                  <a14:compatExt spid="_x0000_s8255"/>
                </a:ext>
                <a:ext uri="{FF2B5EF4-FFF2-40B4-BE49-F238E27FC236}">
                  <a16:creationId xmlns:a16="http://schemas.microsoft.com/office/drawing/2014/main" id="{00000000-0008-0000-06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8</xdr:row>
          <xdr:rowOff>247650</xdr:rowOff>
        </xdr:from>
        <xdr:to>
          <xdr:col>5</xdr:col>
          <xdr:colOff>590550</xdr:colOff>
          <xdr:row>9</xdr:row>
          <xdr:rowOff>19050</xdr:rowOff>
        </xdr:to>
        <xdr:sp macro="" textlink="">
          <xdr:nvSpPr>
            <xdr:cNvPr id="11459" name="Check Box 195" descr="Checkbox is for HCD use only. &#10;AMC Fiscal Representative will use checkbox to use Sponsor Actual Assisted Units Rent Revenue as HCD-Approved Actual Assisted Units Rent Revenue. " hidden="1">
              <a:extLst>
                <a:ext uri="{63B3BB69-23CF-44E3-9099-C40C66FF867C}">
                  <a14:compatExt spid="_x0000_s11459"/>
                </a:ext>
                <a:ext uri="{FF2B5EF4-FFF2-40B4-BE49-F238E27FC236}">
                  <a16:creationId xmlns:a16="http://schemas.microsoft.com/office/drawing/2014/main" id="{00000000-0008-0000-07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8</xdr:row>
          <xdr:rowOff>257175</xdr:rowOff>
        </xdr:from>
        <xdr:to>
          <xdr:col>7</xdr:col>
          <xdr:colOff>590550</xdr:colOff>
          <xdr:row>9</xdr:row>
          <xdr:rowOff>28575</xdr:rowOff>
        </xdr:to>
        <xdr:sp macro="" textlink="">
          <xdr:nvSpPr>
            <xdr:cNvPr id="11461" name="Check Box 197" descr="Checkbox is for HCD use only. &#10;AMC Fiscal Representative will use checkbox to use Sponsor Actual Non-Assisted Units Rent Revenue as HCD-Approved Actual Non-Assisted Units Rent Revenue. " hidden="1">
              <a:extLst>
                <a:ext uri="{63B3BB69-23CF-44E3-9099-C40C66FF867C}">
                  <a14:compatExt spid="_x0000_s11461"/>
                </a:ext>
                <a:ext uri="{FF2B5EF4-FFF2-40B4-BE49-F238E27FC236}">
                  <a16:creationId xmlns:a16="http://schemas.microsoft.com/office/drawing/2014/main" id="{00000000-0008-0000-07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8</xdr:row>
          <xdr:rowOff>247650</xdr:rowOff>
        </xdr:from>
        <xdr:to>
          <xdr:col>9</xdr:col>
          <xdr:colOff>590550</xdr:colOff>
          <xdr:row>9</xdr:row>
          <xdr:rowOff>19050</xdr:rowOff>
        </xdr:to>
        <xdr:sp macro="" textlink="">
          <xdr:nvSpPr>
            <xdr:cNvPr id="11463" name="Check Box 199" descr="Checkbox is for HCD use only. &#10;AMC Fiscal Representative will use checkbox to use Sponsor Actual Commercial Revenue and Expesnses as HCD-Approved Actual Commercial Revenue and Expenses. " hidden="1">
              <a:extLst>
                <a:ext uri="{63B3BB69-23CF-44E3-9099-C40C66FF867C}">
                  <a14:compatExt spid="_x0000_s11463"/>
                </a:ext>
                <a:ext uri="{FF2B5EF4-FFF2-40B4-BE49-F238E27FC236}">
                  <a16:creationId xmlns:a16="http://schemas.microsoft.com/office/drawing/2014/main" id="{00000000-0008-0000-07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8</xdr:row>
          <xdr:rowOff>257175</xdr:rowOff>
        </xdr:from>
        <xdr:to>
          <xdr:col>12</xdr:col>
          <xdr:colOff>590550</xdr:colOff>
          <xdr:row>9</xdr:row>
          <xdr:rowOff>28575</xdr:rowOff>
        </xdr:to>
        <xdr:sp macro="" textlink="">
          <xdr:nvSpPr>
            <xdr:cNvPr id="11465" name="Check Box 201" descr="Checkbox is for HCD use only. &#10;AMC Fiscal Representative will use checkbox to use Sponsor Actual Project Total Revenue and Expenses as HCD-Approved Actual Project Total Revenue and Expenses. " hidden="1">
              <a:extLst>
                <a:ext uri="{63B3BB69-23CF-44E3-9099-C40C66FF867C}">
                  <a14:compatExt spid="_x0000_s11465"/>
                </a:ext>
                <a:ext uri="{FF2B5EF4-FFF2-40B4-BE49-F238E27FC236}">
                  <a16:creationId xmlns:a16="http://schemas.microsoft.com/office/drawing/2014/main" id="{00000000-0008-0000-07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219075</xdr:colOff>
          <xdr:row>9</xdr:row>
          <xdr:rowOff>304800</xdr:rowOff>
        </xdr:from>
        <xdr:to>
          <xdr:col>9</xdr:col>
          <xdr:colOff>533400</xdr:colOff>
          <xdr:row>10</xdr:row>
          <xdr:rowOff>9525</xdr:rowOff>
        </xdr:to>
        <xdr:sp macro="" textlink="">
          <xdr:nvSpPr>
            <xdr:cNvPr id="12506" name="Check Box 218" descr="Checkbox is for HCD use only. &#10;AMC Fiscal Representative will use checkbox to use Sponsor Actual Commercial Expenses as HCD-Approved Actual Commercial Expenses. " hidden="1">
              <a:extLst>
                <a:ext uri="{63B3BB69-23CF-44E3-9099-C40C66FF867C}">
                  <a14:compatExt spid="_x0000_s12506"/>
                </a:ext>
                <a:ext uri="{FF2B5EF4-FFF2-40B4-BE49-F238E27FC236}">
                  <a16:creationId xmlns:a16="http://schemas.microsoft.com/office/drawing/2014/main" id="{00000000-0008-0000-08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9</xdr:row>
          <xdr:rowOff>295275</xdr:rowOff>
        </xdr:from>
        <xdr:to>
          <xdr:col>12</xdr:col>
          <xdr:colOff>571500</xdr:colOff>
          <xdr:row>10</xdr:row>
          <xdr:rowOff>0</xdr:rowOff>
        </xdr:to>
        <xdr:sp macro="" textlink="">
          <xdr:nvSpPr>
            <xdr:cNvPr id="12510" name="Check Box 222" descr="Checkbox is for HCD use only. &#10;AMC Fiscal Representative will use checkbox to use Sponsor Actual Project Total Costs as HCD-Approved Actual Project Total Costs. " hidden="1">
              <a:extLst>
                <a:ext uri="{63B3BB69-23CF-44E3-9099-C40C66FF867C}">
                  <a14:compatExt spid="_x0000_s12510"/>
                </a:ext>
                <a:ext uri="{FF2B5EF4-FFF2-40B4-BE49-F238E27FC236}">
                  <a16:creationId xmlns:a16="http://schemas.microsoft.com/office/drawing/2014/main" id="{00000000-0008-0000-08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cd.ca.gov/reporting-and-compliance-loan-program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omments" Target="../comments8.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FF99"/>
  </sheetPr>
  <dimension ref="A1:N38"/>
  <sheetViews>
    <sheetView showGridLines="0" tabSelected="1" zoomScale="115" zoomScaleNormal="115" zoomScaleSheetLayoutView="100" workbookViewId="0">
      <selection activeCell="A4" sqref="A4:L4"/>
    </sheetView>
  </sheetViews>
  <sheetFormatPr defaultColWidth="0" defaultRowHeight="12.75" x14ac:dyDescent="0.2"/>
  <cols>
    <col min="1" max="1" width="5.85546875" style="60" customWidth="1"/>
    <col min="2" max="11" width="12.5703125" style="60" customWidth="1"/>
    <col min="12" max="12" width="14.42578125" style="60" customWidth="1"/>
    <col min="13" max="14" width="0" style="60" hidden="1" customWidth="1"/>
    <col min="15" max="16384" width="9.140625" style="60" hidden="1"/>
  </cols>
  <sheetData>
    <row r="1" spans="1:12" s="321" customFormat="1" ht="20.25" customHeight="1" x14ac:dyDescent="0.25">
      <c r="A1" s="547" t="s">
        <v>343</v>
      </c>
      <c r="B1" s="548"/>
      <c r="C1" s="548"/>
      <c r="D1" s="548"/>
      <c r="E1" s="548"/>
      <c r="F1" s="548"/>
      <c r="G1" s="548"/>
      <c r="H1" s="548"/>
      <c r="I1" s="548"/>
      <c r="J1" s="548"/>
      <c r="K1" s="542">
        <v>45763</v>
      </c>
      <c r="L1" s="542"/>
    </row>
    <row r="2" spans="1:12" s="320" customFormat="1" ht="18.75" customHeight="1" x14ac:dyDescent="0.2">
      <c r="A2" s="543" t="s">
        <v>278</v>
      </c>
      <c r="B2" s="544"/>
      <c r="C2" s="544"/>
      <c r="D2" s="544"/>
      <c r="E2" s="544"/>
      <c r="F2" s="544"/>
      <c r="G2" s="544"/>
      <c r="H2" s="544"/>
      <c r="I2" s="544"/>
      <c r="J2" s="544"/>
      <c r="K2" s="544"/>
      <c r="L2" s="544"/>
    </row>
    <row r="3" spans="1:12" s="321" customFormat="1" ht="15" customHeight="1" x14ac:dyDescent="0.25">
      <c r="A3" s="545" t="s">
        <v>251</v>
      </c>
      <c r="B3" s="546"/>
      <c r="C3" s="546"/>
      <c r="D3" s="546"/>
      <c r="E3" s="546"/>
      <c r="F3" s="546"/>
      <c r="G3" s="546"/>
      <c r="H3" s="546"/>
      <c r="I3" s="546"/>
      <c r="J3" s="546"/>
      <c r="K3" s="546"/>
      <c r="L3" s="546"/>
    </row>
    <row r="4" spans="1:12" s="321" customFormat="1" ht="265.5" customHeight="1" x14ac:dyDescent="0.2">
      <c r="A4" s="562" t="s">
        <v>336</v>
      </c>
      <c r="B4" s="553"/>
      <c r="C4" s="553"/>
      <c r="D4" s="553"/>
      <c r="E4" s="553"/>
      <c r="F4" s="553"/>
      <c r="G4" s="553"/>
      <c r="H4" s="553"/>
      <c r="I4" s="553"/>
      <c r="J4" s="553"/>
      <c r="K4" s="553"/>
      <c r="L4" s="553"/>
    </row>
    <row r="5" spans="1:12" s="321" customFormat="1" ht="93.75" customHeight="1" thickBot="1" x14ac:dyDescent="0.25">
      <c r="A5" s="563" t="s">
        <v>326</v>
      </c>
      <c r="B5" s="564"/>
      <c r="C5" s="564"/>
      <c r="D5" s="564"/>
      <c r="E5" s="564"/>
      <c r="F5" s="564"/>
      <c r="G5" s="564"/>
      <c r="H5" s="564"/>
      <c r="I5" s="564"/>
      <c r="J5" s="564"/>
      <c r="K5" s="564"/>
      <c r="L5" s="564"/>
    </row>
    <row r="6" spans="1:12" s="321" customFormat="1" ht="20.100000000000001" customHeight="1" thickBot="1" x14ac:dyDescent="0.3">
      <c r="A6" s="550" t="s">
        <v>275</v>
      </c>
      <c r="B6" s="551"/>
      <c r="C6" s="551"/>
      <c r="D6" s="551"/>
      <c r="E6" s="551"/>
      <c r="F6" s="551"/>
      <c r="G6" s="551"/>
      <c r="H6" s="551"/>
      <c r="I6" s="551"/>
      <c r="J6" s="551"/>
      <c r="K6" s="551"/>
      <c r="L6" s="551"/>
    </row>
    <row r="7" spans="1:12" s="321" customFormat="1" ht="6" customHeight="1" x14ac:dyDescent="0.25">
      <c r="A7" s="536"/>
      <c r="B7" s="537"/>
      <c r="C7" s="537"/>
      <c r="D7" s="537"/>
      <c r="E7" s="537"/>
      <c r="F7" s="537"/>
      <c r="G7" s="537"/>
      <c r="H7" s="537"/>
      <c r="I7" s="537"/>
      <c r="J7" s="537"/>
      <c r="K7" s="537"/>
      <c r="L7" s="537"/>
    </row>
    <row r="8" spans="1:12" s="321" customFormat="1" ht="81.75" customHeight="1" thickBot="1" x14ac:dyDescent="0.25">
      <c r="A8" s="552" t="s">
        <v>339</v>
      </c>
      <c r="B8" s="553"/>
      <c r="C8" s="553"/>
      <c r="D8" s="553"/>
      <c r="E8" s="553"/>
      <c r="F8" s="553"/>
      <c r="G8" s="553"/>
      <c r="H8" s="553"/>
      <c r="I8" s="553"/>
      <c r="J8" s="553"/>
      <c r="K8" s="553"/>
      <c r="L8" s="553"/>
    </row>
    <row r="9" spans="1:12" s="321" customFormat="1" ht="20.100000000000001" customHeight="1" thickBot="1" x14ac:dyDescent="0.3">
      <c r="A9" s="554" t="s">
        <v>329</v>
      </c>
      <c r="B9" s="551"/>
      <c r="C9" s="551"/>
      <c r="D9" s="551"/>
      <c r="E9" s="551"/>
      <c r="F9" s="551"/>
      <c r="G9" s="551"/>
      <c r="H9" s="551"/>
      <c r="I9" s="551"/>
      <c r="J9" s="551"/>
      <c r="K9" s="551"/>
      <c r="L9" s="551"/>
    </row>
    <row r="10" spans="1:12" s="321" customFormat="1" ht="6" customHeight="1" x14ac:dyDescent="0.25">
      <c r="A10" s="536"/>
      <c r="B10" s="537"/>
      <c r="C10" s="537"/>
      <c r="D10" s="537"/>
      <c r="E10" s="537"/>
      <c r="F10" s="537"/>
      <c r="G10" s="537"/>
      <c r="H10" s="537"/>
      <c r="I10" s="537"/>
      <c r="J10" s="537"/>
      <c r="K10" s="537"/>
      <c r="L10" s="537"/>
    </row>
    <row r="11" spans="1:12" s="321" customFormat="1" ht="68.25" customHeight="1" thickBot="1" x14ac:dyDescent="0.25">
      <c r="A11" s="555" t="s">
        <v>340</v>
      </c>
      <c r="B11" s="553"/>
      <c r="C11" s="553"/>
      <c r="D11" s="553"/>
      <c r="E11" s="553"/>
      <c r="F11" s="553"/>
      <c r="G11" s="553"/>
      <c r="H11" s="553"/>
      <c r="I11" s="553"/>
      <c r="J11" s="553"/>
      <c r="K11" s="553"/>
      <c r="L11" s="553"/>
    </row>
    <row r="12" spans="1:12" s="321" customFormat="1" ht="19.5" customHeight="1" thickBot="1" x14ac:dyDescent="0.3">
      <c r="A12" s="556" t="s">
        <v>324</v>
      </c>
      <c r="B12" s="557"/>
      <c r="C12" s="557"/>
      <c r="D12" s="557"/>
      <c r="E12" s="557"/>
      <c r="F12" s="557"/>
      <c r="G12" s="557"/>
      <c r="H12" s="557"/>
      <c r="I12" s="557"/>
      <c r="J12" s="557"/>
      <c r="K12" s="557"/>
      <c r="L12" s="557"/>
    </row>
    <row r="13" spans="1:12" s="321" customFormat="1" ht="6" customHeight="1" x14ac:dyDescent="0.25">
      <c r="A13" s="534"/>
      <c r="B13" s="535"/>
      <c r="C13" s="535"/>
      <c r="D13" s="535"/>
      <c r="E13" s="535"/>
      <c r="F13" s="535"/>
      <c r="G13" s="535"/>
      <c r="H13" s="535"/>
      <c r="I13" s="535"/>
      <c r="J13" s="535"/>
      <c r="K13" s="535"/>
      <c r="L13" s="535"/>
    </row>
    <row r="14" spans="1:12" s="321" customFormat="1" ht="99.75" customHeight="1" x14ac:dyDescent="0.2">
      <c r="A14" s="549" t="s">
        <v>345</v>
      </c>
      <c r="B14" s="548"/>
      <c r="C14" s="548"/>
      <c r="D14" s="548"/>
      <c r="E14" s="548"/>
      <c r="F14" s="548"/>
      <c r="G14" s="548"/>
      <c r="H14" s="548"/>
      <c r="I14" s="548"/>
      <c r="J14" s="548"/>
      <c r="K14" s="548"/>
      <c r="L14" s="548"/>
    </row>
    <row r="15" spans="1:12" s="322" customFormat="1" ht="15.75" x14ac:dyDescent="0.2">
      <c r="A15" s="558" t="s">
        <v>276</v>
      </c>
      <c r="B15" s="559"/>
      <c r="C15" s="559"/>
      <c r="D15" s="559"/>
      <c r="E15" s="559"/>
      <c r="F15" s="559"/>
      <c r="G15" s="559"/>
      <c r="H15" s="559"/>
      <c r="I15" s="559"/>
      <c r="J15" s="559"/>
      <c r="K15" s="559"/>
      <c r="L15" s="559"/>
    </row>
    <row r="16" spans="1:12" s="325" customFormat="1" ht="31.5" customHeight="1" x14ac:dyDescent="0.25">
      <c r="A16" s="560" t="s">
        <v>323</v>
      </c>
      <c r="B16" s="553"/>
      <c r="C16" s="553"/>
      <c r="D16" s="553"/>
      <c r="E16" s="553"/>
      <c r="F16" s="553"/>
      <c r="G16" s="553"/>
      <c r="H16" s="553"/>
      <c r="I16" s="553"/>
      <c r="J16" s="553"/>
      <c r="K16" s="553"/>
      <c r="L16" s="553"/>
    </row>
    <row r="17" spans="1:12" s="329" customFormat="1" ht="158.25" customHeight="1" x14ac:dyDescent="0.2">
      <c r="A17" s="549" t="s">
        <v>330</v>
      </c>
      <c r="B17" s="548"/>
      <c r="C17" s="548"/>
      <c r="D17" s="548"/>
      <c r="E17" s="548"/>
      <c r="F17" s="548"/>
      <c r="G17" s="548"/>
      <c r="H17" s="548"/>
      <c r="I17" s="548"/>
      <c r="J17" s="548"/>
      <c r="K17" s="548"/>
      <c r="L17" s="548"/>
    </row>
    <row r="18" spans="1:12" s="321" customFormat="1" ht="18" x14ac:dyDescent="0.25">
      <c r="A18" s="569" t="s">
        <v>327</v>
      </c>
      <c r="B18" s="569"/>
      <c r="C18" s="569"/>
      <c r="D18" s="569"/>
      <c r="E18" s="569"/>
      <c r="F18" s="569"/>
      <c r="G18" s="569"/>
      <c r="H18" s="569"/>
      <c r="I18" s="569"/>
      <c r="J18" s="569"/>
      <c r="K18" s="569"/>
      <c r="L18" s="569"/>
    </row>
    <row r="19" spans="1:12" s="326" customFormat="1" ht="184.5" customHeight="1" x14ac:dyDescent="0.2">
      <c r="A19" s="549" t="s">
        <v>337</v>
      </c>
      <c r="B19" s="548"/>
      <c r="C19" s="548"/>
      <c r="D19" s="548"/>
      <c r="E19" s="548"/>
      <c r="F19" s="548"/>
      <c r="G19" s="548"/>
      <c r="H19" s="548"/>
      <c r="I19" s="548"/>
      <c r="J19" s="548"/>
      <c r="K19" s="548"/>
      <c r="L19" s="548"/>
    </row>
    <row r="20" spans="1:12" s="321" customFormat="1" ht="18" x14ac:dyDescent="0.25">
      <c r="A20" s="560" t="s">
        <v>328</v>
      </c>
      <c r="B20" s="560"/>
      <c r="C20" s="560"/>
      <c r="D20" s="560"/>
      <c r="E20" s="560"/>
      <c r="F20" s="560"/>
      <c r="G20" s="560"/>
      <c r="H20" s="560"/>
      <c r="I20" s="560"/>
      <c r="J20" s="560"/>
      <c r="K20" s="560"/>
      <c r="L20" s="560"/>
    </row>
    <row r="21" spans="1:12" s="321" customFormat="1" ht="225" customHeight="1" x14ac:dyDescent="0.2">
      <c r="A21" s="561" t="s">
        <v>338</v>
      </c>
      <c r="B21" s="548"/>
      <c r="C21" s="548"/>
      <c r="D21" s="548"/>
      <c r="E21" s="548"/>
      <c r="F21" s="548"/>
      <c r="G21" s="548"/>
      <c r="H21" s="548"/>
      <c r="I21" s="548"/>
      <c r="J21" s="548"/>
      <c r="K21" s="548"/>
      <c r="L21" s="548"/>
    </row>
    <row r="22" spans="1:12" s="325" customFormat="1" ht="21" customHeight="1" x14ac:dyDescent="0.2">
      <c r="A22" s="567" t="s">
        <v>333</v>
      </c>
      <c r="B22" s="568"/>
      <c r="C22" s="568"/>
      <c r="D22" s="568"/>
      <c r="E22" s="568"/>
      <c r="F22" s="568"/>
      <c r="G22" s="568"/>
      <c r="H22" s="568"/>
      <c r="I22" s="568"/>
      <c r="J22" s="568"/>
      <c r="K22" s="568"/>
      <c r="L22" s="568"/>
    </row>
    <row r="23" spans="1:12" s="326" customFormat="1" ht="141.75" customHeight="1" thickBot="1" x14ac:dyDescent="0.25">
      <c r="A23" s="549" t="s">
        <v>342</v>
      </c>
      <c r="B23" s="548"/>
      <c r="C23" s="548"/>
      <c r="D23" s="548"/>
      <c r="E23" s="548"/>
      <c r="F23" s="548"/>
      <c r="G23" s="548"/>
      <c r="H23" s="548"/>
      <c r="I23" s="548"/>
      <c r="J23" s="548"/>
      <c r="K23" s="548"/>
      <c r="L23" s="548"/>
    </row>
    <row r="24" spans="1:12" s="321" customFormat="1" ht="30.75" customHeight="1" x14ac:dyDescent="0.2">
      <c r="A24" s="570" t="s">
        <v>334</v>
      </c>
      <c r="B24" s="570"/>
      <c r="C24" s="570"/>
      <c r="D24" s="570"/>
      <c r="E24" s="570"/>
      <c r="F24" s="570"/>
      <c r="G24" s="570"/>
      <c r="H24" s="570"/>
      <c r="I24" s="570"/>
      <c r="J24" s="570"/>
      <c r="K24" s="570"/>
      <c r="L24" s="570"/>
    </row>
    <row r="25" spans="1:12" s="326" customFormat="1" ht="154.5" customHeight="1" x14ac:dyDescent="0.2">
      <c r="A25" s="549" t="s">
        <v>341</v>
      </c>
      <c r="B25" s="548"/>
      <c r="C25" s="548"/>
      <c r="D25" s="548"/>
      <c r="E25" s="548"/>
      <c r="F25" s="548"/>
      <c r="G25" s="548"/>
      <c r="H25" s="548"/>
      <c r="I25" s="548"/>
      <c r="J25" s="548"/>
      <c r="K25" s="548"/>
      <c r="L25" s="548"/>
    </row>
    <row r="26" spans="1:12" s="321" customFormat="1" ht="21" customHeight="1" x14ac:dyDescent="0.2">
      <c r="A26" s="567" t="s">
        <v>335</v>
      </c>
      <c r="B26" s="567"/>
      <c r="C26" s="567"/>
      <c r="D26" s="567"/>
      <c r="E26" s="567"/>
      <c r="F26" s="567"/>
      <c r="G26" s="567"/>
      <c r="H26" s="567"/>
      <c r="I26" s="567"/>
      <c r="J26" s="567"/>
      <c r="K26" s="567"/>
      <c r="L26" s="567"/>
    </row>
    <row r="27" spans="1:12" s="327" customFormat="1" ht="16.5" customHeight="1" thickBot="1" x14ac:dyDescent="0.25">
      <c r="A27" s="565" t="s">
        <v>325</v>
      </c>
      <c r="B27" s="566"/>
      <c r="C27" s="566"/>
      <c r="D27" s="566"/>
      <c r="E27" s="566"/>
      <c r="F27" s="566"/>
      <c r="G27" s="566"/>
      <c r="H27" s="566"/>
      <c r="I27" s="566"/>
      <c r="J27" s="566"/>
      <c r="K27" s="566"/>
      <c r="L27" s="566"/>
    </row>
    <row r="28" spans="1:12" ht="16.5" customHeight="1" x14ac:dyDescent="0.2"/>
    <row r="29" spans="1:12" ht="16.5" customHeight="1" x14ac:dyDescent="0.2"/>
    <row r="30" spans="1:12" ht="16.5" customHeight="1" x14ac:dyDescent="0.2"/>
    <row r="31" spans="1:12" ht="16.5" customHeight="1" x14ac:dyDescent="0.2"/>
    <row r="32" spans="1:12" ht="20.25" customHeight="1" x14ac:dyDescent="0.2"/>
    <row r="36" ht="12.75" customHeight="1" x14ac:dyDescent="0.2"/>
    <row r="37" ht="12.75" customHeight="1" x14ac:dyDescent="0.2"/>
    <row r="38" ht="12.75" customHeight="1" x14ac:dyDescent="0.2"/>
  </sheetData>
  <sheetProtection algorithmName="SHA-512" hashValue="fyNC4qZPxId08s67y/GMani27uLmwztc3n/epn8wKQR/CiQxOhBIuUE+6Xml3JysZGaH6MGcD4mxV8UVd7O50g==" saltValue="E1KTCWWems2oOEuoccsqfw==" spinCount="100000" sheet="1" objects="1" scenarios="1"/>
  <mergeCells count="25">
    <mergeCell ref="A27:L27"/>
    <mergeCell ref="A26:L26"/>
    <mergeCell ref="A16:L16"/>
    <mergeCell ref="A17:L17"/>
    <mergeCell ref="A19:L19"/>
    <mergeCell ref="A22:L22"/>
    <mergeCell ref="A23:L23"/>
    <mergeCell ref="A25:L25"/>
    <mergeCell ref="A18:L18"/>
    <mergeCell ref="A24:L24"/>
    <mergeCell ref="A15:L15"/>
    <mergeCell ref="A20:L20"/>
    <mergeCell ref="A21:L21"/>
    <mergeCell ref="A4:L4"/>
    <mergeCell ref="A5:L5"/>
    <mergeCell ref="K1:L1"/>
    <mergeCell ref="A2:L2"/>
    <mergeCell ref="A3:L3"/>
    <mergeCell ref="A1:J1"/>
    <mergeCell ref="A14:L14"/>
    <mergeCell ref="A6:L6"/>
    <mergeCell ref="A8:L8"/>
    <mergeCell ref="A9:L9"/>
    <mergeCell ref="A11:L11"/>
    <mergeCell ref="A12:L12"/>
  </mergeCells>
  <dataValidations count="1">
    <dataValidation allowBlank="1" showInputMessage="1" sqref="A1:XFD1048576" xr:uid="{9BA0E216-BB9D-42FC-847B-1BB12BAFF1E8}"/>
  </dataValidations>
  <hyperlinks>
    <hyperlink ref="A15" r:id="rId1" xr:uid="{FA45200E-0572-4D1C-9873-049D05D26659}"/>
  </hyperlinks>
  <printOptions horizontalCentered="1"/>
  <pageMargins left="0.1" right="0.1" top="1" bottom="0.5" header="0.2" footer="0.2"/>
  <pageSetup scale="73" fitToHeight="2" orientation="portrait" r:id="rId2"/>
  <headerFooter>
    <oddHeader>&amp;L&amp;9STATE OF CALIFORNIA
&amp;"Arial,Bold"Operating Budget Workbook Instructions&amp;R&amp;9DEPT OF HOUSING &amp; COMMUNITY DEV.
CALIFORNIA HOUSING FINANCE AGENCY</oddHeader>
    <oddFooter>&amp;C&amp;9Page &amp;P of &amp;N&amp;R&amp;"Arial,Italic"&amp;9&amp;A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99"/>
    <pageSetUpPr fitToPage="1"/>
  </sheetPr>
  <dimension ref="A1:N56"/>
  <sheetViews>
    <sheetView showGridLines="0" zoomScaleNormal="100" workbookViewId="0">
      <selection activeCell="S12" sqref="S12"/>
    </sheetView>
  </sheetViews>
  <sheetFormatPr defaultColWidth="9.140625" defaultRowHeight="12.75" x14ac:dyDescent="0.2"/>
  <cols>
    <col min="1" max="1" width="5.42578125" customWidth="1"/>
    <col min="2" max="2" width="8.5703125" customWidth="1"/>
    <col min="3" max="3" width="13.85546875" customWidth="1"/>
    <col min="4" max="4" width="15.140625" customWidth="1"/>
    <col min="5" max="5" width="6" customWidth="1"/>
    <col min="6" max="7" width="11.42578125" bestFit="1" customWidth="1"/>
    <col min="8" max="8" width="4.42578125" customWidth="1"/>
    <col min="9" max="9" width="10.5703125" customWidth="1"/>
    <col min="10" max="10" width="17.140625" customWidth="1"/>
    <col min="11" max="11" width="4.42578125" customWidth="1"/>
    <col min="12" max="12" width="13.28515625" customWidth="1"/>
    <col min="13" max="13" width="9.42578125" hidden="1" customWidth="1"/>
    <col min="14" max="14" width="9.140625" hidden="1" customWidth="1"/>
  </cols>
  <sheetData>
    <row r="1" spans="1:14" ht="16.5" customHeight="1" x14ac:dyDescent="0.2">
      <c r="A1" s="571" t="s">
        <v>344</v>
      </c>
      <c r="B1" s="572"/>
      <c r="C1" s="572"/>
      <c r="D1" s="572"/>
      <c r="E1" s="572"/>
      <c r="F1" s="572"/>
      <c r="G1" s="572"/>
      <c r="H1" s="572"/>
      <c r="I1" s="572"/>
      <c r="J1" s="572"/>
      <c r="K1" s="572"/>
      <c r="L1" s="573"/>
      <c r="N1" s="22" t="s">
        <v>116</v>
      </c>
    </row>
    <row r="2" spans="1:14" ht="18" customHeight="1" x14ac:dyDescent="0.2">
      <c r="A2" s="578" t="s">
        <v>0</v>
      </c>
      <c r="B2" s="578"/>
      <c r="C2" s="578"/>
      <c r="D2" s="485"/>
      <c r="E2" s="323" t="s">
        <v>1</v>
      </c>
      <c r="F2" s="485"/>
      <c r="G2" s="330"/>
      <c r="H2" s="331" t="str">
        <f>IF(ISNUMBER(SEARCH("*MHP*",ContractNumber)),"Number of Restricted Units","")</f>
        <v/>
      </c>
      <c r="I2" s="575" t="str" cm="1">
        <f t="array" ref="I2">IF(SUMPRODUCT(-- (ISNUMBER(SEARCH({"*AHSC*","*FMTW*","*FWHG*","*GHI*","*HOME","*MHP*","*NPLH*","*TOD*","*VHHP*"},D5:D7)))),"Number of Restricted Units: ","Number of Assisted Units: ")</f>
        <v xml:space="preserve">Number of Assisted Units: </v>
      </c>
      <c r="J2" s="581"/>
      <c r="K2" s="581"/>
      <c r="L2" s="486"/>
      <c r="M2" t="str">
        <f>IF(I2="Number of Restricted Units: ","Restricted","Assisted")</f>
        <v>Assisted</v>
      </c>
      <c r="N2" s="22" t="s">
        <v>117</v>
      </c>
    </row>
    <row r="3" spans="1:14" ht="18" customHeight="1" x14ac:dyDescent="0.2">
      <c r="A3" s="578" t="s">
        <v>2</v>
      </c>
      <c r="B3" s="595"/>
      <c r="C3" s="595"/>
      <c r="D3" s="579"/>
      <c r="E3" s="579"/>
      <c r="F3" s="579"/>
      <c r="G3" s="579"/>
      <c r="H3" s="575" t="s">
        <v>105</v>
      </c>
      <c r="I3" s="575"/>
      <c r="J3" s="575"/>
      <c r="K3" s="575"/>
      <c r="L3" s="487"/>
      <c r="N3" s="22" t="s">
        <v>118</v>
      </c>
    </row>
    <row r="4" spans="1:14" ht="18" customHeight="1" x14ac:dyDescent="0.2">
      <c r="A4" s="578" t="s">
        <v>226</v>
      </c>
      <c r="B4" s="595"/>
      <c r="C4" s="595"/>
      <c r="D4" s="576"/>
      <c r="E4" s="576"/>
      <c r="F4" s="576"/>
      <c r="G4" s="576"/>
      <c r="H4" s="575" t="str">
        <f>CONCATENATE(' 2. Checklist and Cert - 170'!M2," Units","/Total Units Prorata: ")</f>
        <v xml:space="preserve">Assisted Units/Total Units Prorata: </v>
      </c>
      <c r="I4" s="575"/>
      <c r="J4" s="575"/>
      <c r="K4" s="575"/>
      <c r="L4" s="324">
        <f>IF(L3=0,0,L2/L3)</f>
        <v>0</v>
      </c>
      <c r="N4" s="22" t="s">
        <v>119</v>
      </c>
    </row>
    <row r="5" spans="1:14" ht="18" customHeight="1" x14ac:dyDescent="0.2">
      <c r="A5" s="578" t="s">
        <v>286</v>
      </c>
      <c r="B5" s="595"/>
      <c r="C5" s="595"/>
      <c r="D5" s="576"/>
      <c r="E5" s="576"/>
      <c r="F5" s="576"/>
      <c r="G5" s="576"/>
      <c r="H5" s="575" t="s">
        <v>150</v>
      </c>
      <c r="I5" s="575"/>
      <c r="J5" s="575"/>
      <c r="K5" s="575"/>
      <c r="L5" s="483"/>
      <c r="N5" s="22" t="s">
        <v>120</v>
      </c>
    </row>
    <row r="6" spans="1:14" s="60" customFormat="1" ht="18" customHeight="1" x14ac:dyDescent="0.2">
      <c r="A6" s="578" t="s">
        <v>287</v>
      </c>
      <c r="B6" s="595"/>
      <c r="C6" s="595"/>
      <c r="D6" s="576"/>
      <c r="E6" s="576"/>
      <c r="F6" s="576"/>
      <c r="G6" s="576"/>
      <c r="H6" s="575" t="s">
        <v>290</v>
      </c>
      <c r="I6" s="575"/>
      <c r="J6" s="575"/>
      <c r="K6" s="575"/>
      <c r="L6" s="575"/>
      <c r="N6" s="22" t="s">
        <v>121</v>
      </c>
    </row>
    <row r="7" spans="1:14" ht="18" customHeight="1" x14ac:dyDescent="0.2">
      <c r="A7" s="578" t="s">
        <v>288</v>
      </c>
      <c r="B7" s="578"/>
      <c r="C7" s="578"/>
      <c r="D7" s="576"/>
      <c r="E7" s="576"/>
      <c r="F7" s="576"/>
      <c r="G7" s="576"/>
      <c r="H7" s="330"/>
      <c r="I7" s="580"/>
      <c r="J7" s="580"/>
      <c r="K7" s="580"/>
      <c r="L7" s="580"/>
      <c r="N7" s="22" t="s">
        <v>122</v>
      </c>
    </row>
    <row r="8" spans="1:14" ht="18" customHeight="1" x14ac:dyDescent="0.2">
      <c r="A8" s="578" t="s">
        <v>289</v>
      </c>
      <c r="B8" s="578"/>
      <c r="C8" s="578"/>
      <c r="D8" s="594"/>
      <c r="E8" s="594"/>
      <c r="F8" s="594"/>
      <c r="G8" s="594"/>
      <c r="H8" s="330"/>
      <c r="I8" s="385"/>
      <c r="J8" s="385"/>
      <c r="K8" s="385"/>
      <c r="L8" s="385"/>
      <c r="N8" s="22" t="s">
        <v>123</v>
      </c>
    </row>
    <row r="9" spans="1:14" ht="18" customHeight="1" x14ac:dyDescent="0.2">
      <c r="A9" s="578" t="s">
        <v>3</v>
      </c>
      <c r="B9" s="578"/>
      <c r="C9" s="578"/>
      <c r="D9" s="576"/>
      <c r="E9" s="577"/>
      <c r="F9" s="577"/>
      <c r="G9" s="577"/>
      <c r="H9" s="330"/>
      <c r="I9" s="575" t="s">
        <v>154</v>
      </c>
      <c r="J9" s="575"/>
      <c r="K9" s="575"/>
      <c r="L9" s="484"/>
      <c r="N9" s="22" t="s">
        <v>124</v>
      </c>
    </row>
    <row r="10" spans="1:14" ht="18" customHeight="1" x14ac:dyDescent="0.2">
      <c r="A10" s="578" t="s">
        <v>153</v>
      </c>
      <c r="B10" s="578"/>
      <c r="C10" s="578"/>
      <c r="D10" s="485"/>
      <c r="E10" s="596" t="s">
        <v>147</v>
      </c>
      <c r="F10" s="596"/>
      <c r="G10" s="597"/>
      <c r="H10" s="598"/>
      <c r="I10" s="330"/>
      <c r="J10" s="60"/>
      <c r="K10" s="60"/>
      <c r="L10" s="60"/>
      <c r="N10" s="22" t="s">
        <v>125</v>
      </c>
    </row>
    <row r="11" spans="1:14" ht="12" customHeight="1" thickBot="1" x14ac:dyDescent="0.25">
      <c r="A11" s="330"/>
      <c r="B11" s="60"/>
      <c r="C11" s="60"/>
      <c r="D11" s="60"/>
      <c r="E11" s="60"/>
      <c r="F11" s="60"/>
      <c r="G11" s="60"/>
      <c r="H11" s="60"/>
      <c r="I11" s="60"/>
      <c r="J11" s="574" t="s">
        <v>311</v>
      </c>
      <c r="K11" s="574"/>
      <c r="L11" s="424">
        <f>'1. Operating Budget Instruction'!K1</f>
        <v>45763</v>
      </c>
      <c r="N11" s="22" t="s">
        <v>126</v>
      </c>
    </row>
    <row r="12" spans="1:14" ht="16.5" customHeight="1" x14ac:dyDescent="0.2">
      <c r="A12" s="585" t="s">
        <v>310</v>
      </c>
      <c r="B12" s="586"/>
      <c r="C12" s="586"/>
      <c r="D12" s="586"/>
      <c r="E12" s="586"/>
      <c r="F12" s="586"/>
      <c r="G12" s="586"/>
      <c r="H12" s="586"/>
      <c r="I12" s="586"/>
      <c r="J12" s="586"/>
      <c r="K12" s="586"/>
      <c r="L12" s="587"/>
      <c r="N12" s="22" t="s">
        <v>127</v>
      </c>
    </row>
    <row r="13" spans="1:14" ht="21" customHeight="1" x14ac:dyDescent="0.2">
      <c r="A13" s="602"/>
      <c r="B13" s="603"/>
      <c r="C13" s="397" t="s">
        <v>346</v>
      </c>
      <c r="D13" s="387"/>
      <c r="E13" s="387"/>
      <c r="F13" s="387"/>
      <c r="G13" s="387"/>
      <c r="H13" s="387"/>
      <c r="I13" s="387"/>
      <c r="J13" s="386"/>
      <c r="K13" s="386"/>
      <c r="L13" s="390"/>
      <c r="N13" s="22" t="s">
        <v>272</v>
      </c>
    </row>
    <row r="14" spans="1:14" ht="21" customHeight="1" x14ac:dyDescent="0.25">
      <c r="A14" s="602"/>
      <c r="B14" s="603"/>
      <c r="C14" s="398" t="s">
        <v>347</v>
      </c>
      <c r="D14" s="388"/>
      <c r="E14" s="388"/>
      <c r="F14" s="388"/>
      <c r="G14" s="388"/>
      <c r="H14" s="388"/>
      <c r="I14" s="388"/>
      <c r="J14" s="386"/>
      <c r="K14" s="386"/>
      <c r="L14" s="390"/>
      <c r="N14" s="22" t="s">
        <v>128</v>
      </c>
    </row>
    <row r="15" spans="1:14" ht="21" customHeight="1" x14ac:dyDescent="0.25">
      <c r="A15" s="602"/>
      <c r="B15" s="603"/>
      <c r="C15" s="398" t="s">
        <v>348</v>
      </c>
      <c r="D15" s="388"/>
      <c r="E15" s="388"/>
      <c r="F15" s="533"/>
      <c r="G15" s="388"/>
      <c r="H15" s="388"/>
      <c r="I15" s="388"/>
      <c r="J15" s="386"/>
      <c r="K15" s="386"/>
      <c r="L15" s="390"/>
      <c r="N15" s="22" t="s">
        <v>129</v>
      </c>
    </row>
    <row r="16" spans="1:14" ht="10.5" customHeight="1" x14ac:dyDescent="0.2">
      <c r="A16" s="582"/>
      <c r="B16" s="583"/>
      <c r="C16" s="583"/>
      <c r="D16" s="583"/>
      <c r="E16" s="583"/>
      <c r="F16" s="583"/>
      <c r="G16" s="583"/>
      <c r="H16" s="583"/>
      <c r="I16" s="583"/>
      <c r="J16" s="583"/>
      <c r="K16" s="583"/>
      <c r="L16" s="584"/>
      <c r="N16" s="22" t="s">
        <v>130</v>
      </c>
    </row>
    <row r="17" spans="1:14" ht="45" customHeight="1" x14ac:dyDescent="0.2">
      <c r="A17" s="588" t="s">
        <v>331</v>
      </c>
      <c r="B17" s="589"/>
      <c r="C17" s="589"/>
      <c r="D17" s="589"/>
      <c r="E17" s="589"/>
      <c r="F17" s="589"/>
      <c r="G17" s="589"/>
      <c r="H17" s="589"/>
      <c r="I17" s="589"/>
      <c r="J17" s="589"/>
      <c r="K17" s="589"/>
      <c r="L17" s="590"/>
      <c r="N17" s="22" t="s">
        <v>131</v>
      </c>
    </row>
    <row r="18" spans="1:14" ht="10.5" customHeight="1" x14ac:dyDescent="0.2">
      <c r="A18" s="604"/>
      <c r="B18" s="583"/>
      <c r="C18" s="583"/>
      <c r="D18" s="583"/>
      <c r="E18" s="583"/>
      <c r="F18" s="583"/>
      <c r="G18" s="583"/>
      <c r="H18" s="583"/>
      <c r="I18" s="583"/>
      <c r="J18" s="583"/>
      <c r="K18" s="583"/>
      <c r="L18" s="584"/>
      <c r="N18" s="22" t="s">
        <v>169</v>
      </c>
    </row>
    <row r="19" spans="1:14" ht="24.95" customHeight="1" x14ac:dyDescent="0.2">
      <c r="A19" s="605"/>
      <c r="B19" s="606"/>
      <c r="C19" s="606"/>
      <c r="D19" s="612"/>
      <c r="E19" s="612"/>
      <c r="F19" s="612"/>
      <c r="G19" s="612"/>
      <c r="H19" s="612"/>
      <c r="I19" s="611"/>
      <c r="J19" s="611"/>
      <c r="K19" s="611"/>
      <c r="L19" s="488"/>
      <c r="N19" s="22" t="s">
        <v>170</v>
      </c>
    </row>
    <row r="20" spans="1:14" ht="21.95" customHeight="1" thickBot="1" x14ac:dyDescent="0.25">
      <c r="A20" s="607" t="s">
        <v>285</v>
      </c>
      <c r="B20" s="608"/>
      <c r="C20" s="608"/>
      <c r="D20" s="608" t="s">
        <v>84</v>
      </c>
      <c r="E20" s="608"/>
      <c r="F20" s="608"/>
      <c r="G20" s="608"/>
      <c r="H20" s="608"/>
      <c r="I20" s="608" t="s">
        <v>25</v>
      </c>
      <c r="J20" s="608"/>
      <c r="K20" s="608"/>
      <c r="L20" s="532" t="s">
        <v>26</v>
      </c>
      <c r="N20" s="22" t="s">
        <v>132</v>
      </c>
    </row>
    <row r="21" spans="1:14" ht="23.25" customHeight="1" x14ac:dyDescent="0.2">
      <c r="A21" s="591" t="s">
        <v>322</v>
      </c>
      <c r="B21" s="592"/>
      <c r="C21" s="592"/>
      <c r="D21" s="592"/>
      <c r="E21" s="592"/>
      <c r="F21" s="592"/>
      <c r="G21" s="592"/>
      <c r="H21" s="592"/>
      <c r="I21" s="592"/>
      <c r="J21" s="592"/>
      <c r="K21" s="592"/>
      <c r="L21" s="593"/>
      <c r="N21" s="22" t="s">
        <v>133</v>
      </c>
    </row>
    <row r="22" spans="1:14" ht="21" customHeight="1" x14ac:dyDescent="0.2">
      <c r="A22" s="613"/>
      <c r="B22" s="614"/>
      <c r="C22" s="589" t="s">
        <v>295</v>
      </c>
      <c r="D22" s="589"/>
      <c r="E22" s="589"/>
      <c r="F22" s="589"/>
      <c r="G22" s="589"/>
      <c r="H22" s="589"/>
      <c r="I22" s="589"/>
      <c r="J22" s="589"/>
      <c r="K22" s="589"/>
      <c r="L22" s="590"/>
      <c r="N22" s="22" t="s">
        <v>134</v>
      </c>
    </row>
    <row r="23" spans="1:14" ht="9.75" customHeight="1" x14ac:dyDescent="0.2">
      <c r="A23" s="618"/>
      <c r="B23" s="583"/>
      <c r="C23" s="583"/>
      <c r="D23" s="583"/>
      <c r="E23" s="583"/>
      <c r="F23" s="583"/>
      <c r="G23" s="583"/>
      <c r="H23" s="583"/>
      <c r="I23" s="583"/>
      <c r="J23" s="583"/>
      <c r="K23" s="583"/>
      <c r="L23" s="584"/>
      <c r="N23" s="22" t="s">
        <v>135</v>
      </c>
    </row>
    <row r="24" spans="1:14" ht="24.95" customHeight="1" x14ac:dyDescent="0.2">
      <c r="A24" s="392"/>
      <c r="B24" s="60"/>
      <c r="C24" s="615"/>
      <c r="D24" s="615"/>
      <c r="E24" s="615"/>
      <c r="F24" s="615"/>
      <c r="G24" s="615"/>
      <c r="H24" s="617"/>
      <c r="I24" s="617"/>
      <c r="J24" s="617"/>
      <c r="K24" s="617"/>
      <c r="L24" s="489"/>
      <c r="N24" s="22" t="s">
        <v>136</v>
      </c>
    </row>
    <row r="25" spans="1:14" ht="20.25" customHeight="1" thickBot="1" x14ac:dyDescent="0.25">
      <c r="A25" s="393"/>
      <c r="B25" s="394"/>
      <c r="C25" s="616" t="s">
        <v>84</v>
      </c>
      <c r="D25" s="616"/>
      <c r="E25" s="616"/>
      <c r="F25" s="616"/>
      <c r="G25" s="616"/>
      <c r="H25" s="616" t="s">
        <v>25</v>
      </c>
      <c r="I25" s="616"/>
      <c r="J25" s="616"/>
      <c r="K25" s="616"/>
      <c r="L25" s="395" t="s">
        <v>26</v>
      </c>
      <c r="N25" s="22" t="s">
        <v>273</v>
      </c>
    </row>
    <row r="26" spans="1:14" ht="16.5" customHeight="1" x14ac:dyDescent="0.2">
      <c r="A26" s="585" t="s">
        <v>319</v>
      </c>
      <c r="B26" s="586"/>
      <c r="C26" s="586"/>
      <c r="D26" s="586"/>
      <c r="E26" s="586"/>
      <c r="F26" s="586"/>
      <c r="G26" s="586"/>
      <c r="H26" s="586"/>
      <c r="I26" s="586"/>
      <c r="J26" s="586"/>
      <c r="K26" s="586"/>
      <c r="L26" s="587"/>
      <c r="N26" s="22" t="s">
        <v>137</v>
      </c>
    </row>
    <row r="27" spans="1:14" ht="11.45" customHeight="1" x14ac:dyDescent="0.2">
      <c r="A27" s="599"/>
      <c r="B27" s="600"/>
      <c r="C27" s="600"/>
      <c r="D27" s="600"/>
      <c r="E27" s="600"/>
      <c r="F27" s="600"/>
      <c r="G27" s="600"/>
      <c r="H27" s="600"/>
      <c r="I27" s="600"/>
      <c r="J27" s="600"/>
      <c r="K27" s="600"/>
      <c r="L27" s="601"/>
      <c r="N27" s="22" t="s">
        <v>138</v>
      </c>
    </row>
    <row r="28" spans="1:14" ht="21" customHeight="1" x14ac:dyDescent="0.25">
      <c r="A28" s="602"/>
      <c r="B28" s="603"/>
      <c r="C28" s="400" t="s">
        <v>293</v>
      </c>
      <c r="D28" s="389"/>
      <c r="E28" s="389"/>
      <c r="F28" s="389"/>
      <c r="G28" s="389"/>
      <c r="H28" s="389"/>
      <c r="I28" s="389"/>
      <c r="J28" s="389"/>
      <c r="K28" s="389"/>
      <c r="L28" s="396"/>
      <c r="N28" s="22" t="s">
        <v>139</v>
      </c>
    </row>
    <row r="29" spans="1:14" ht="21" customHeight="1" x14ac:dyDescent="0.25">
      <c r="A29" s="602"/>
      <c r="B29" s="603"/>
      <c r="C29" s="399" t="s">
        <v>292</v>
      </c>
      <c r="D29" s="389"/>
      <c r="E29" s="389"/>
      <c r="F29" s="400"/>
      <c r="G29" s="389"/>
      <c r="H29" s="389"/>
      <c r="I29" s="389"/>
      <c r="J29" s="389"/>
      <c r="K29" s="389"/>
      <c r="L29" s="396"/>
      <c r="N29" s="22" t="s">
        <v>140</v>
      </c>
    </row>
    <row r="30" spans="1:14" ht="12" customHeight="1" x14ac:dyDescent="0.2">
      <c r="A30" s="599"/>
      <c r="B30" s="609"/>
      <c r="C30" s="609"/>
      <c r="D30" s="609"/>
      <c r="E30" s="609"/>
      <c r="F30" s="609"/>
      <c r="G30" s="609"/>
      <c r="H30" s="609"/>
      <c r="I30" s="609"/>
      <c r="J30" s="609"/>
      <c r="K30" s="609"/>
      <c r="L30" s="610"/>
      <c r="N30" s="22" t="s">
        <v>141</v>
      </c>
    </row>
    <row r="31" spans="1:14" ht="44.25" customHeight="1" x14ac:dyDescent="0.2">
      <c r="A31" s="588" t="s">
        <v>332</v>
      </c>
      <c r="B31" s="589"/>
      <c r="C31" s="589"/>
      <c r="D31" s="589"/>
      <c r="E31" s="589"/>
      <c r="F31" s="589"/>
      <c r="G31" s="589"/>
      <c r="H31" s="589"/>
      <c r="I31" s="589"/>
      <c r="J31" s="589"/>
      <c r="K31" s="589"/>
      <c r="L31" s="590"/>
      <c r="N31" s="22" t="s">
        <v>142</v>
      </c>
    </row>
    <row r="32" spans="1:14" ht="24.95" customHeight="1" x14ac:dyDescent="0.2">
      <c r="A32" s="605"/>
      <c r="B32" s="606"/>
      <c r="C32" s="606"/>
      <c r="D32" s="612"/>
      <c r="E32" s="612"/>
      <c r="F32" s="612"/>
      <c r="G32" s="612"/>
      <c r="H32" s="612"/>
      <c r="I32" s="611"/>
      <c r="J32" s="611"/>
      <c r="K32" s="611"/>
      <c r="L32" s="488"/>
      <c r="N32" s="22" t="s">
        <v>143</v>
      </c>
    </row>
    <row r="33" spans="1:14" ht="15" customHeight="1" x14ac:dyDescent="0.2">
      <c r="A33" s="623" t="s">
        <v>285</v>
      </c>
      <c r="B33" s="622"/>
      <c r="C33" s="622"/>
      <c r="D33" s="622" t="s">
        <v>84</v>
      </c>
      <c r="E33" s="622"/>
      <c r="F33" s="622"/>
      <c r="G33" s="622"/>
      <c r="H33" s="622"/>
      <c r="I33" s="622" t="s">
        <v>25</v>
      </c>
      <c r="J33" s="622"/>
      <c r="K33" s="622"/>
      <c r="L33" s="391" t="s">
        <v>26</v>
      </c>
      <c r="N33" t="s">
        <v>144</v>
      </c>
    </row>
    <row r="34" spans="1:14" ht="12" customHeight="1" thickBot="1" x14ac:dyDescent="0.25">
      <c r="A34" s="619"/>
      <c r="B34" s="620"/>
      <c r="C34" s="620"/>
      <c r="D34" s="620"/>
      <c r="E34" s="620"/>
      <c r="F34" s="620"/>
      <c r="G34" s="620"/>
      <c r="H34" s="620"/>
      <c r="I34" s="620"/>
      <c r="J34" s="620"/>
      <c r="K34" s="620"/>
      <c r="L34" s="621"/>
      <c r="N34" t="s">
        <v>228</v>
      </c>
    </row>
    <row r="35" spans="1:14" ht="25.5" customHeight="1" x14ac:dyDescent="0.2">
      <c r="A35" s="591" t="s">
        <v>296</v>
      </c>
      <c r="B35" s="592"/>
      <c r="C35" s="592"/>
      <c r="D35" s="592"/>
      <c r="E35" s="592"/>
      <c r="F35" s="592"/>
      <c r="G35" s="592"/>
      <c r="H35" s="592"/>
      <c r="I35" s="592"/>
      <c r="J35" s="592"/>
      <c r="K35" s="592"/>
      <c r="L35" s="593"/>
      <c r="N35" t="s">
        <v>229</v>
      </c>
    </row>
    <row r="36" spans="1:14" ht="21" customHeight="1" x14ac:dyDescent="0.2">
      <c r="A36" s="613"/>
      <c r="B36" s="614"/>
      <c r="C36" s="589" t="s">
        <v>301</v>
      </c>
      <c r="D36" s="589"/>
      <c r="E36" s="589"/>
      <c r="F36" s="589"/>
      <c r="G36" s="589"/>
      <c r="H36" s="589"/>
      <c r="I36" s="589"/>
      <c r="J36" s="589"/>
      <c r="K36" s="589"/>
      <c r="L36" s="590"/>
      <c r="N36" t="s">
        <v>230</v>
      </c>
    </row>
    <row r="37" spans="1:14" ht="12" customHeight="1" x14ac:dyDescent="0.2">
      <c r="A37" s="618"/>
      <c r="B37" s="583"/>
      <c r="C37" s="583"/>
      <c r="D37" s="583"/>
      <c r="E37" s="583"/>
      <c r="F37" s="583"/>
      <c r="G37" s="583"/>
      <c r="H37" s="583"/>
      <c r="I37" s="583"/>
      <c r="J37" s="583"/>
      <c r="K37" s="583"/>
      <c r="L37" s="584"/>
      <c r="N37" t="s">
        <v>231</v>
      </c>
    </row>
    <row r="38" spans="1:14" ht="24.95" customHeight="1" x14ac:dyDescent="0.2">
      <c r="A38" s="392"/>
      <c r="B38" s="60"/>
      <c r="C38" s="615"/>
      <c r="D38" s="615"/>
      <c r="E38" s="615"/>
      <c r="F38" s="615"/>
      <c r="G38" s="615"/>
      <c r="H38" s="617"/>
      <c r="I38" s="617"/>
      <c r="J38" s="617"/>
      <c r="K38" s="617"/>
      <c r="L38" s="489"/>
      <c r="N38" t="s">
        <v>232</v>
      </c>
    </row>
    <row r="39" spans="1:14" ht="12" customHeight="1" thickBot="1" x14ac:dyDescent="0.25">
      <c r="A39" s="393"/>
      <c r="B39" s="394"/>
      <c r="C39" s="616" t="s">
        <v>84</v>
      </c>
      <c r="D39" s="616"/>
      <c r="E39" s="616"/>
      <c r="F39" s="616"/>
      <c r="G39" s="616"/>
      <c r="H39" s="616" t="s">
        <v>25</v>
      </c>
      <c r="I39" s="616"/>
      <c r="J39" s="616"/>
      <c r="K39" s="616"/>
      <c r="L39" s="395" t="s">
        <v>26</v>
      </c>
      <c r="N39" t="s">
        <v>233</v>
      </c>
    </row>
    <row r="40" spans="1:14" x14ac:dyDescent="0.2">
      <c r="N40" t="s">
        <v>234</v>
      </c>
    </row>
    <row r="41" spans="1:14" x14ac:dyDescent="0.2">
      <c r="N41" t="s">
        <v>235</v>
      </c>
    </row>
    <row r="42" spans="1:14" x14ac:dyDescent="0.2">
      <c r="N42" t="s">
        <v>236</v>
      </c>
    </row>
    <row r="43" spans="1:14" x14ac:dyDescent="0.2">
      <c r="N43" t="s">
        <v>237</v>
      </c>
    </row>
    <row r="44" spans="1:14" x14ac:dyDescent="0.2">
      <c r="N44" t="s">
        <v>238</v>
      </c>
    </row>
    <row r="45" spans="1:14" x14ac:dyDescent="0.2">
      <c r="N45" t="s">
        <v>239</v>
      </c>
    </row>
    <row r="46" spans="1:14" x14ac:dyDescent="0.2">
      <c r="N46" t="s">
        <v>240</v>
      </c>
    </row>
    <row r="47" spans="1:14" x14ac:dyDescent="0.2">
      <c r="N47" t="s">
        <v>241</v>
      </c>
    </row>
    <row r="48" spans="1:14" x14ac:dyDescent="0.2">
      <c r="N48" t="s">
        <v>242</v>
      </c>
    </row>
    <row r="49" spans="14:14" x14ac:dyDescent="0.2">
      <c r="N49" t="s">
        <v>243</v>
      </c>
    </row>
    <row r="50" spans="14:14" x14ac:dyDescent="0.2">
      <c r="N50" t="s">
        <v>244</v>
      </c>
    </row>
    <row r="51" spans="14:14" x14ac:dyDescent="0.2">
      <c r="N51" t="s">
        <v>245</v>
      </c>
    </row>
    <row r="52" spans="14:14" x14ac:dyDescent="0.2">
      <c r="N52" t="s">
        <v>246</v>
      </c>
    </row>
    <row r="53" spans="14:14" x14ac:dyDescent="0.2">
      <c r="N53" t="s">
        <v>247</v>
      </c>
    </row>
    <row r="54" spans="14:14" x14ac:dyDescent="0.2">
      <c r="N54" t="s">
        <v>248</v>
      </c>
    </row>
    <row r="55" spans="14:14" x14ac:dyDescent="0.2">
      <c r="N55" t="s">
        <v>249</v>
      </c>
    </row>
    <row r="56" spans="14:14" x14ac:dyDescent="0.2">
      <c r="N56" t="s">
        <v>250</v>
      </c>
    </row>
  </sheetData>
  <sheetProtection algorithmName="SHA-512" hashValue="yhivbnEnmkDb7MlWB7ETfE2W1XDBLSdyHMNL/tPyRk2OqWwggUvfw0Uj9p6Ohhe+tJitUpbtOhINuoJRunXnCA==" saltValue="WC2zlp4yHsUSlSiWpsDLsw==" spinCount="100000" sheet="1" objects="1" scenarios="1"/>
  <dataConsolidate/>
  <mergeCells count="70">
    <mergeCell ref="C39:G39"/>
    <mergeCell ref="H39:K39"/>
    <mergeCell ref="D32:H32"/>
    <mergeCell ref="A35:L35"/>
    <mergeCell ref="A37:L37"/>
    <mergeCell ref="A36:B36"/>
    <mergeCell ref="C36:L36"/>
    <mergeCell ref="C38:G38"/>
    <mergeCell ref="H38:K38"/>
    <mergeCell ref="A34:L34"/>
    <mergeCell ref="D33:H33"/>
    <mergeCell ref="I33:K33"/>
    <mergeCell ref="A33:C33"/>
    <mergeCell ref="A32:C32"/>
    <mergeCell ref="A31:L31"/>
    <mergeCell ref="A30:L30"/>
    <mergeCell ref="I32:K32"/>
    <mergeCell ref="D19:H19"/>
    <mergeCell ref="D20:H20"/>
    <mergeCell ref="I19:K19"/>
    <mergeCell ref="I20:K20"/>
    <mergeCell ref="C22:L22"/>
    <mergeCell ref="A22:B22"/>
    <mergeCell ref="C24:G24"/>
    <mergeCell ref="C25:G25"/>
    <mergeCell ref="H24:K24"/>
    <mergeCell ref="H25:K25"/>
    <mergeCell ref="A28:B28"/>
    <mergeCell ref="A29:B29"/>
    <mergeCell ref="A23:L23"/>
    <mergeCell ref="A27:L27"/>
    <mergeCell ref="A10:C10"/>
    <mergeCell ref="A13:B13"/>
    <mergeCell ref="A14:B14"/>
    <mergeCell ref="A15:B15"/>
    <mergeCell ref="A18:C18"/>
    <mergeCell ref="A19:C19"/>
    <mergeCell ref="D18:L18"/>
    <mergeCell ref="A20:C20"/>
    <mergeCell ref="I2:K2"/>
    <mergeCell ref="A16:L16"/>
    <mergeCell ref="A26:L26"/>
    <mergeCell ref="A17:L17"/>
    <mergeCell ref="A21:L21"/>
    <mergeCell ref="A12:L12"/>
    <mergeCell ref="A8:C8"/>
    <mergeCell ref="D8:G8"/>
    <mergeCell ref="A3:C3"/>
    <mergeCell ref="A4:C4"/>
    <mergeCell ref="A5:C5"/>
    <mergeCell ref="A6:C6"/>
    <mergeCell ref="I9:K9"/>
    <mergeCell ref="E10:F10"/>
    <mergeCell ref="G10:H10"/>
    <mergeCell ref="A1:L1"/>
    <mergeCell ref="J11:K11"/>
    <mergeCell ref="H3:K3"/>
    <mergeCell ref="D9:G9"/>
    <mergeCell ref="D6:G6"/>
    <mergeCell ref="D5:G5"/>
    <mergeCell ref="A9:C9"/>
    <mergeCell ref="D3:G3"/>
    <mergeCell ref="A2:C2"/>
    <mergeCell ref="H5:K5"/>
    <mergeCell ref="H6:L6"/>
    <mergeCell ref="H4:K4"/>
    <mergeCell ref="D4:G4"/>
    <mergeCell ref="A7:C7"/>
    <mergeCell ref="I7:L7"/>
    <mergeCell ref="D7:G7"/>
  </mergeCells>
  <phoneticPr fontId="12" type="noConversion"/>
  <dataValidations xWindow="1053" yWindow="406" count="28">
    <dataValidation errorStyle="information" allowBlank="1" showInputMessage="1" errorTitle="Number of Assisted Unit." error="Please enter the Number of Assisted Units. " prompt="Enter Number of Assisted Units. " sqref="L2" xr:uid="{FD371E6C-9744-4480-AC2F-48529EB306C3}"/>
    <dataValidation allowBlank="1" showInputMessage="1" prompt="Enter your name." sqref="C24 C38" xr:uid="{2AFEAF8B-2193-4720-BB36-663A586B6B3C}"/>
    <dataValidation allowBlank="1" showInputMessage="1" prompt="Enter your title." sqref="H24 H38" xr:uid="{6044D2CD-DC9D-4096-AC91-4EDEB593D966}"/>
    <dataValidation allowBlank="1" showInputMessage="1" prompt="Enter date approved." sqref="L24 L38" xr:uid="{CA986FF6-7ED6-46EC-AD79-DE3619A0E746}"/>
    <dataValidation type="textLength" operator="lessThan" showInputMessage="1" showErrorMessage="1" errorTitle="Read-only cell." error="This is not a form field. Press Tab to continue. " sqref="J13:L15 E2 E10:F10 C28:L29 I2:K2 H5:K5 I9:K9 H4:L4 H3:K3 A12:L12 C22:L22 F15 L11 A2:C10" xr:uid="{56D31080-C3D2-4B36-954D-181E9FC73987}">
      <formula1>0</formula1>
    </dataValidation>
    <dataValidation errorStyle="warning" operator="greaterThan" allowBlank="1" showInputMessage="1" error="Please enter the beginning date of your reporting period." promptTitle="Reporting Period." prompt="Please enter the Start Date of the Reporting Period." sqref="D2" xr:uid="{9F7CF62D-99C5-4532-B416-B814D76D89A1}"/>
    <dataValidation errorStyle="warning" operator="greaterThan" allowBlank="1" showInputMessage="1" error="Please enter the beginning date of your reporting period." promptTitle="Reporting Period." prompt="Please enter the End Date of the Reporting Period." sqref="F2" xr:uid="{51978C68-F87E-4442-A722-12832B4951B1}"/>
    <dataValidation operator="greaterThan" showInputMessage="1" promptTitle="Project Name." prompt="Please enter the Project Name here. " sqref="D3:G3" xr:uid="{CA591E42-5304-49E0-AA7D-3B05B41CBB18}"/>
    <dataValidation errorStyle="warning" allowBlank="1" showInputMessage="1" promptTitle="Prepared by." prompt="Please enter your name." sqref="D9:G9" xr:uid="{67C29D8B-9042-4009-8177-0BE124F93AA8}"/>
    <dataValidation operator="greaterThan" showInputMessage="1" errorTitle="Invalid field entry." error="Please enter your name greater than 5 characters." prompt="Enter your name." sqref="D19 D32" xr:uid="{9811E19B-9935-446D-A921-CFC52641DE8D}"/>
    <dataValidation operator="greaterThan" showInputMessage="1" errorTitle="Invalid field entry." error="Please enter your title greater than 5 characters." prompt="Enter your title." sqref="I19 I32" xr:uid="{09DE8075-F457-4956-986D-083F3005887D}"/>
    <dataValidation operator="greaterThan" showInputMessage="1" errorTitle="Invalid field entry." error="Please enter the date as show in the example, 1/1/2022 or 01/01/2022." prompt="Enter date submitted." sqref="L19 L32" xr:uid="{75B28217-2526-41C3-A205-A21B59EAF11B}"/>
    <dataValidation allowBlank="1" showInputMessage="1" prompt="Enter Total Number of Units." sqref="L3" xr:uid="{CB68B34B-666A-4BE3-AFB7-2F0B3A0E5903}"/>
    <dataValidation allowBlank="1" showInputMessage="1" prompt="Enter Other Prorata % Used." sqref="L5" xr:uid="{C3AB7BDE-E09A-4543-AD11-7D884E4EE3DB}"/>
    <dataValidation allowBlank="1" showInputMessage="1" prompt="Enter HCD Approved Other Prorata % based on:" sqref="I7:L8" xr:uid="{7AC06475-2A70-4B9B-A8B3-EB6563936165}"/>
    <dataValidation allowBlank="1" showInputMessage="1" prompt="Enter Date Prepared." sqref="D10" xr:uid="{B994D15E-1392-4FFE-87B2-C3DC297EFBA4}"/>
    <dataValidation allowBlank="1" showInputMessage="1" prompt="Enter your phone number. " sqref="G10:H10" xr:uid="{098BBCAA-6EF8-4020-BA66-7EF3D812A19E}"/>
    <dataValidation allowBlank="1" showInputMessage="1" prompt="Enter Date Revised." sqref="L9" xr:uid="{C5588314-6003-4E72-99AB-EA4E7E582F3E}"/>
    <dataValidation errorStyle="warning" operator="lessThan" showInputMessage="1" showErrorMessage="1" errorTitle="Invalid field entry." error="Please enter the Contract Number for each Program. " promptTitle="HCD/CalHFA Contract Number." prompt="Please enter HCD Contract or CalHFA Project Number." sqref="D6:G8" xr:uid="{B2A2774B-2944-4476-B1E9-F7773DDF41D5}"/>
    <dataValidation type="list" allowBlank="1" showInputMessage="1" showErrorMessage="1" sqref="A13:B15 A28:B29" xr:uid="{2FC33331-74D1-439D-9F1F-8E91B49E98DC}">
      <formula1>"Yes,No"</formula1>
    </dataValidation>
    <dataValidation type="textLength" errorStyle="warning" operator="lessThan" showInputMessage="1" showErrorMessage="1" errorTitle="Read-only cell." error="This is not a form field. Press Tab to continue. " sqref="H6:L6 A21:L21 A26:L26 A1:L1" xr:uid="{F61F1A19-9220-442C-87D3-C498D794A65C}">
      <formula1>0</formula1>
    </dataValidation>
    <dataValidation type="list" allowBlank="1" showInputMessage="1" showErrorMessage="1" sqref="A19:C19 A32:C32" xr:uid="{B42526DC-E1B4-4160-BAF4-B8A4A373DA99}">
      <formula1>"Managment Agent,Borrower,Sponsor"</formula1>
    </dataValidation>
    <dataValidation type="list" allowBlank="1" promptTitle="Checkbox for AMC Approval" prompt="For HCD use only. AMC Fiscal Representative will check this box and enter their name, title, and date if tabs 2 through 7 of this Operating Budget Excel Workbook are approved. " sqref="A22:B22" xr:uid="{3723E897-E45C-40FE-BB2D-4D870A103CDE}">
      <formula1>"Yes,No"</formula1>
    </dataValidation>
    <dataValidation allowBlank="1" showInputMessage="1" showErrorMessage="1" promptTitle="Directions" prompt="Please select from the drop down menu.  If you need to erase, use the Delete button." sqref="F29 F15 C28:C29 C13:C15" xr:uid="{B9F66B00-8089-4899-BCC1-B565D8159EB6}"/>
    <dataValidation errorStyle="warning" operator="lessThan" showInputMessage="1" showErrorMessage="1" errorTitle="Invalid field entry." error="Please enter the Contract Number for each Program. " promptTitle="HCD/CalHFA Number:" prompt="Please enter HCD Contract or CalHFA Project Number." sqref="D5:G5" xr:uid="{DA95234A-1ECA-4593-B733-46AF62F972C5}"/>
    <dataValidation allowBlank="1" showInputMessage="1" sqref="W13 C13" xr:uid="{8256DE7B-1062-4178-BBB9-63142C67C823}"/>
    <dataValidation type="list" errorStyle="warning" showInputMessage="1" errorTitle="Invalid field entry." error="Please make the selection from the drop-down menu to the right." promptTitle="Project Location-County." prompt="Please select the Project location County from the drop-down menu to the right." sqref="D4:G4" xr:uid="{00000000-0002-0000-0100-000001000000}">
      <formula1>$N$1:$N$56</formula1>
    </dataValidation>
    <dataValidation type="textLength" operator="lessThan" showInputMessage="1" errorTitle="Read-only cell." error="This is not a form field. Press Tab to continue. " sqref="A17:L17 A31:L31 C14:C15" xr:uid="{54D1143A-7D81-4075-95FB-9DB7EB263277}">
      <formula1>0</formula1>
    </dataValidation>
  </dataValidations>
  <printOptions horizontalCentered="1"/>
  <pageMargins left="0.25" right="0.25" top="0.5" bottom="0.25" header="0" footer="0"/>
  <pageSetup scale="85" orientation="portrait" r:id="rId1"/>
  <headerFooter scaleWithDoc="0">
    <oddHeader>&amp;L&amp;9STATE OF CALIFORNIA</oddHeader>
    <oddFooter>&amp;C&amp;9Page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99"/>
    <pageSetUpPr fitToPage="1"/>
  </sheetPr>
  <dimension ref="A1:M108"/>
  <sheetViews>
    <sheetView showGridLines="0" zoomScale="115" zoomScaleNormal="115" workbookViewId="0">
      <pane ySplit="9" topLeftCell="A10" activePane="bottomLeft" state="frozen"/>
      <selection pane="bottomLeft" activeCell="J18" sqref="J18"/>
    </sheetView>
  </sheetViews>
  <sheetFormatPr defaultColWidth="9.140625" defaultRowHeight="12.75" x14ac:dyDescent="0.2"/>
  <cols>
    <col min="1" max="1" width="3" style="22" customWidth="1"/>
    <col min="2" max="2" width="17.28515625" style="22" customWidth="1"/>
    <col min="3" max="3" width="34" style="22" customWidth="1"/>
    <col min="4" max="4" width="10.7109375" style="22" customWidth="1"/>
    <col min="5" max="10" width="11.5703125" style="22" customWidth="1"/>
    <col min="11" max="11" width="11" style="22" customWidth="1"/>
    <col min="12" max="12" width="11.5703125" style="22" customWidth="1"/>
    <col min="13" max="13" width="57.28515625" style="4" customWidth="1"/>
    <col min="14" max="16" width="9.140625" style="22" customWidth="1"/>
    <col min="17" max="17" width="9.42578125" style="22" customWidth="1"/>
    <col min="18" max="26" width="9.140625" style="22" customWidth="1"/>
    <col min="27" max="16384" width="9.140625" style="22"/>
  </cols>
  <sheetData>
    <row r="1" spans="1:13" ht="16.5" customHeight="1" x14ac:dyDescent="0.2">
      <c r="A1" s="637" t="s">
        <v>294</v>
      </c>
      <c r="B1" s="638"/>
      <c r="C1" s="638"/>
      <c r="D1" s="638"/>
      <c r="E1" s="638"/>
      <c r="F1" s="638"/>
      <c r="G1" s="638"/>
      <c r="H1" s="638"/>
      <c r="I1" s="638"/>
      <c r="J1" s="638"/>
      <c r="K1" s="638"/>
      <c r="L1" s="638"/>
      <c r="M1" s="639"/>
    </row>
    <row r="2" spans="1:13" ht="12.75" customHeight="1" x14ac:dyDescent="0.2">
      <c r="A2" s="50"/>
      <c r="B2" s="531">
        <f>'1. Operating Budget Instruction'!K1</f>
        <v>45763</v>
      </c>
      <c r="C2" s="77" t="str">
        <f>+'4. Proposed Cost of Ops - 172'!C2</f>
        <v>Reporting Period:</v>
      </c>
      <c r="D2" s="314" t="str">
        <f>IF(' 2. Checklist and Cert - 170'!D2="","",' 2. Checklist and Cert - 170'!D2)</f>
        <v/>
      </c>
      <c r="E2" s="32" t="str">
        <f>+'4. Proposed Cost of Ops - 172'!F2</f>
        <v>to</v>
      </c>
      <c r="F2" s="314" t="str">
        <f>IF(' 2. Checklist and Cert - 170'!F2="","",' 2. Checklist and Cert - 170'!F2)</f>
        <v/>
      </c>
      <c r="G2" s="17"/>
      <c r="H2" s="384"/>
      <c r="J2" s="17"/>
      <c r="K2" s="691" t="s">
        <v>153</v>
      </c>
      <c r="L2" s="691"/>
      <c r="M2" s="530" t="str">
        <f>IF(' 2. Checklist and Cert - 170'!D10="","",' 2. Checklist and Cert - 170'!D10)</f>
        <v/>
      </c>
    </row>
    <row r="3" spans="1:13" ht="12.75" customHeight="1" x14ac:dyDescent="0.2">
      <c r="A3" s="50"/>
      <c r="C3" s="2"/>
      <c r="D3" s="59"/>
      <c r="E3" s="681" t="str">
        <f>' 2. Checklist and Cert - 170'!A5</f>
        <v xml:space="preserve">1. HCD/CalHFA #:  </v>
      </c>
      <c r="F3" s="681"/>
      <c r="G3" s="684" t="str">
        <f>IF(' 2. Checklist and Cert - 170'!D5="","",' 2. Checklist and Cert - 170'!D5)</f>
        <v/>
      </c>
      <c r="H3" s="684"/>
      <c r="J3" s="17"/>
      <c r="K3" s="681" t="s">
        <v>154</v>
      </c>
      <c r="L3" s="681"/>
      <c r="M3" s="230" t="str">
        <f>IF(' 2. Checklist and Cert - 170'!L9="","",' 2. Checklist and Cert - 170'!L9)</f>
        <v/>
      </c>
    </row>
    <row r="4" spans="1:13" s="4" customFormat="1" ht="12.75" customHeight="1" x14ac:dyDescent="0.2">
      <c r="A4" s="649" t="s">
        <v>2</v>
      </c>
      <c r="B4" s="649"/>
      <c r="C4" s="171" t="str">
        <f>IF(' 2. Checklist and Cert - 170'!D3="","",' 2. Checklist and Cert - 170'!D3)</f>
        <v/>
      </c>
      <c r="D4" s="125"/>
      <c r="E4" s="681" t="str">
        <f>' 2. Checklist and Cert - 170'!A6</f>
        <v xml:space="preserve">2. HCD/CalHFA #:  </v>
      </c>
      <c r="F4" s="681"/>
      <c r="G4" s="685" t="str">
        <f>IF(' 2. Checklist and Cert - 170'!D6="","",' 2. Checklist and Cert - 170'!D6)</f>
        <v/>
      </c>
      <c r="H4" s="685"/>
      <c r="J4" s="17"/>
      <c r="K4" s="681" t="str">
        <f>CONCATENATE(' 2. Checklist and Cert - 170'!M2," Units:")</f>
        <v>Assisted Units:</v>
      </c>
      <c r="L4" s="681"/>
      <c r="M4" s="183">
        <f>IF(' 2. Checklist and Cert - 170'!L2="",0,' 2. Checklist and Cert - 170'!L2)</f>
        <v>0</v>
      </c>
    </row>
    <row r="5" spans="1:13" s="4" customFormat="1" ht="12.75" customHeight="1" x14ac:dyDescent="0.2">
      <c r="A5" s="649" t="s">
        <v>148</v>
      </c>
      <c r="B5" s="649"/>
      <c r="C5" s="6" t="str">
        <f>IF(' 2. Checklist and Cert - 170'!D4="","",' 2. Checklist and Cert - 170'!D4)</f>
        <v/>
      </c>
      <c r="D5" s="125"/>
      <c r="E5" s="681" t="str">
        <f>' 2. Checklist and Cert - 170'!A7</f>
        <v xml:space="preserve">3. HCD/CalHFA #:  </v>
      </c>
      <c r="F5" s="681"/>
      <c r="G5" s="685" t="str">
        <f>IF(' 2. Checklist and Cert - 170'!D7="","",' 2. Checklist and Cert - 170'!D7)</f>
        <v/>
      </c>
      <c r="H5" s="685"/>
      <c r="J5" s="17"/>
      <c r="K5" s="681" t="s">
        <v>149</v>
      </c>
      <c r="L5" s="681"/>
      <c r="M5" s="184">
        <f>IF(' 2. Checklist and Cert - 170'!L3="",0,' 2. Checklist and Cert - 170'!L3)</f>
        <v>0</v>
      </c>
    </row>
    <row r="6" spans="1:13" s="4" customFormat="1" ht="12.75" customHeight="1" thickBot="1" x14ac:dyDescent="0.25">
      <c r="A6" s="649" t="s">
        <v>146</v>
      </c>
      <c r="B6" s="649"/>
      <c r="C6" s="262" t="str">
        <f>IF(' 2. Checklist and Cert - 170'!D9="","",' 2. Checklist and Cert - 170'!D9)</f>
        <v/>
      </c>
      <c r="D6" s="125"/>
      <c r="E6" s="681" t="str">
        <f>' 2. Checklist and Cert - 170'!A8</f>
        <v xml:space="preserve">4. HCD/CalHFA #:  </v>
      </c>
      <c r="F6" s="681"/>
      <c r="G6" s="686" t="str">
        <f>IF(' 2. Checklist and Cert - 170'!D8="","",' 2. Checklist and Cert - 170'!D8)</f>
        <v/>
      </c>
      <c r="H6" s="686"/>
      <c r="J6" s="17"/>
      <c r="K6" s="692" t="s">
        <v>171</v>
      </c>
      <c r="L6" s="692"/>
      <c r="M6" s="263">
        <f>IF(' 2. Checklist and Cert - 170'!$L$5=0,' 2. Checklist and Cert - 170'!$L$4,' 2. Checklist and Cert - 170'!$L$5)</f>
        <v>0</v>
      </c>
    </row>
    <row r="7" spans="1:13" ht="11.25" customHeight="1" thickTop="1" x14ac:dyDescent="0.2">
      <c r="A7" s="510"/>
      <c r="B7" s="629"/>
      <c r="C7" s="630"/>
      <c r="D7" s="503"/>
      <c r="E7" s="470" t="s">
        <v>43</v>
      </c>
      <c r="F7" s="470" t="s">
        <v>44</v>
      </c>
      <c r="G7" s="471" t="s">
        <v>45</v>
      </c>
      <c r="H7" s="135" t="s">
        <v>46</v>
      </c>
      <c r="I7" s="471" t="s">
        <v>48</v>
      </c>
      <c r="J7" s="472" t="s">
        <v>49</v>
      </c>
      <c r="K7" s="471" t="s">
        <v>50</v>
      </c>
      <c r="L7" s="511" t="s">
        <v>51</v>
      </c>
      <c r="M7" s="473" t="s">
        <v>52</v>
      </c>
    </row>
    <row r="8" spans="1:13" ht="36" customHeight="1" x14ac:dyDescent="0.2">
      <c r="A8" s="631" t="s">
        <v>145</v>
      </c>
      <c r="B8" s="701" t="s">
        <v>60</v>
      </c>
      <c r="C8" s="702"/>
      <c r="D8" s="633" t="s">
        <v>216</v>
      </c>
      <c r="E8" s="642" t="s">
        <v>165</v>
      </c>
      <c r="F8" s="689" t="str">
        <f>CONCATENATE(' 2. Checklist and Cert - 170'!$M$2," Units Proposed")</f>
        <v>Assisted Units Proposed</v>
      </c>
      <c r="G8" s="689" t="str">
        <f>CONCATENATE("Non-",' 2. Checklist and Cert - 170'!$M$2," Units Proposed")</f>
        <v>Non-Assisted Units Proposed</v>
      </c>
      <c r="H8" s="687" t="s">
        <v>315</v>
      </c>
      <c r="I8" s="689" t="s">
        <v>314</v>
      </c>
      <c r="J8" s="682" t="s">
        <v>312</v>
      </c>
      <c r="K8" s="682" t="s">
        <v>317</v>
      </c>
      <c r="L8" s="635" t="s">
        <v>318</v>
      </c>
      <c r="M8" s="679" t="s">
        <v>279</v>
      </c>
    </row>
    <row r="9" spans="1:13" ht="12.75" customHeight="1" x14ac:dyDescent="0.2">
      <c r="A9" s="632"/>
      <c r="B9" s="703"/>
      <c r="C9" s="704"/>
      <c r="D9" s="634"/>
      <c r="E9" s="643"/>
      <c r="F9" s="690"/>
      <c r="G9" s="690"/>
      <c r="H9" s="688"/>
      <c r="I9" s="690"/>
      <c r="J9" s="683"/>
      <c r="K9" s="683"/>
      <c r="L9" s="636"/>
      <c r="M9" s="680"/>
    </row>
    <row r="10" spans="1:13" x14ac:dyDescent="0.2">
      <c r="A10" s="249"/>
      <c r="B10" s="652" t="s">
        <v>63</v>
      </c>
      <c r="C10" s="653"/>
      <c r="D10" s="20"/>
      <c r="E10" s="161"/>
      <c r="F10" s="47"/>
      <c r="G10" s="75"/>
      <c r="H10" s="90"/>
      <c r="I10" s="75"/>
      <c r="J10" s="497"/>
      <c r="K10" s="514"/>
      <c r="L10" s="405"/>
      <c r="M10" s="378"/>
    </row>
    <row r="11" spans="1:13" ht="12.75" customHeight="1" x14ac:dyDescent="0.2">
      <c r="A11" s="249">
        <v>1</v>
      </c>
      <c r="B11" s="644" t="s">
        <v>28</v>
      </c>
      <c r="C11" s="645"/>
      <c r="D11" s="20">
        <v>5120</v>
      </c>
      <c r="E11" s="162">
        <f>SUM(F11:H11)</f>
        <v>0</v>
      </c>
      <c r="F11" s="445">
        <v>0</v>
      </c>
      <c r="G11" s="452">
        <v>0</v>
      </c>
      <c r="H11" s="90"/>
      <c r="I11" s="452">
        <v>0</v>
      </c>
      <c r="J11" s="504">
        <f>SUM(I11/8)*12</f>
        <v>0</v>
      </c>
      <c r="K11" s="512">
        <f t="shared" ref="K11:K17" si="0">E11-J11</f>
        <v>0</v>
      </c>
      <c r="L11" s="401">
        <f>IFERROR(K11/J11,0)</f>
        <v>0</v>
      </c>
      <c r="M11" s="449"/>
    </row>
    <row r="12" spans="1:13" ht="12.75" customHeight="1" x14ac:dyDescent="0.2">
      <c r="A12" s="249">
        <v>2</v>
      </c>
      <c r="B12" s="644" t="s">
        <v>89</v>
      </c>
      <c r="C12" s="645"/>
      <c r="D12" s="20">
        <v>5121</v>
      </c>
      <c r="E12" s="162">
        <f>SUM(F12:H12)</f>
        <v>0</v>
      </c>
      <c r="F12" s="445">
        <v>0</v>
      </c>
      <c r="G12" s="452">
        <v>0</v>
      </c>
      <c r="H12" s="90"/>
      <c r="I12" s="452">
        <v>0</v>
      </c>
      <c r="J12" s="504">
        <f t="shared" ref="J12:J17" si="1">SUM(I12/8)*12</f>
        <v>0</v>
      </c>
      <c r="K12" s="512">
        <f t="shared" si="0"/>
        <v>0</v>
      </c>
      <c r="L12" s="401">
        <f t="shared" ref="L12:L17" si="2">IFERROR(K12/J12,0)</f>
        <v>0</v>
      </c>
      <c r="M12" s="449"/>
    </row>
    <row r="13" spans="1:13" ht="12.75" customHeight="1" x14ac:dyDescent="0.2">
      <c r="A13" s="249">
        <v>3</v>
      </c>
      <c r="B13" s="644" t="s">
        <v>29</v>
      </c>
      <c r="C13" s="645"/>
      <c r="D13" s="20">
        <v>5140</v>
      </c>
      <c r="E13" s="162">
        <f>SUM(F13:H13)</f>
        <v>0</v>
      </c>
      <c r="F13" s="47"/>
      <c r="G13" s="75"/>
      <c r="H13" s="453">
        <v>0</v>
      </c>
      <c r="I13" s="452">
        <v>0</v>
      </c>
      <c r="J13" s="504">
        <f t="shared" si="1"/>
        <v>0</v>
      </c>
      <c r="K13" s="512">
        <f t="shared" si="0"/>
        <v>0</v>
      </c>
      <c r="L13" s="401">
        <f t="shared" si="2"/>
        <v>0</v>
      </c>
      <c r="M13" s="449"/>
    </row>
    <row r="14" spans="1:13" ht="12.75" customHeight="1" x14ac:dyDescent="0.2">
      <c r="A14" s="249">
        <v>4</v>
      </c>
      <c r="B14" s="644" t="s">
        <v>30</v>
      </c>
      <c r="C14" s="645"/>
      <c r="D14" s="20">
        <v>5170</v>
      </c>
      <c r="E14" s="162">
        <f>SUM(F14:H14)</f>
        <v>0</v>
      </c>
      <c r="F14" s="445">
        <v>0</v>
      </c>
      <c r="G14" s="452">
        <v>0</v>
      </c>
      <c r="H14" s="453">
        <v>0</v>
      </c>
      <c r="I14" s="452">
        <v>0</v>
      </c>
      <c r="J14" s="504">
        <f t="shared" si="1"/>
        <v>0</v>
      </c>
      <c r="K14" s="512">
        <f t="shared" si="0"/>
        <v>0</v>
      </c>
      <c r="L14" s="401">
        <f t="shared" si="2"/>
        <v>0</v>
      </c>
      <c r="M14" s="449"/>
    </row>
    <row r="15" spans="1:13" ht="12.75" customHeight="1" x14ac:dyDescent="0.2">
      <c r="A15" s="249">
        <v>5</v>
      </c>
      <c r="B15" s="644" t="s">
        <v>31</v>
      </c>
      <c r="C15" s="645"/>
      <c r="D15" s="20">
        <v>5180</v>
      </c>
      <c r="E15" s="162">
        <f>SUM(F15:H15)</f>
        <v>0</v>
      </c>
      <c r="F15" s="445">
        <v>0</v>
      </c>
      <c r="G15" s="452">
        <v>0</v>
      </c>
      <c r="H15" s="453">
        <v>0</v>
      </c>
      <c r="I15" s="452">
        <v>0</v>
      </c>
      <c r="J15" s="504">
        <f t="shared" si="1"/>
        <v>0</v>
      </c>
      <c r="K15" s="512">
        <f t="shared" si="0"/>
        <v>0</v>
      </c>
      <c r="L15" s="401">
        <f t="shared" si="2"/>
        <v>0</v>
      </c>
      <c r="M15" s="449"/>
    </row>
    <row r="16" spans="1:13" ht="12.75" customHeight="1" x14ac:dyDescent="0.2">
      <c r="A16" s="249">
        <v>6</v>
      </c>
      <c r="B16" s="644" t="s">
        <v>201</v>
      </c>
      <c r="C16" s="645"/>
      <c r="D16" s="20">
        <v>5190</v>
      </c>
      <c r="E16" s="306">
        <f>G77</f>
        <v>0</v>
      </c>
      <c r="F16" s="13">
        <f>(E16-H16)*IF(' 2. Checklist and Cert - 170'!$L$5=0,' 2. Checklist and Cert - 170'!$L$4,' 2. Checklist and Cert - 170'!$L$5)</f>
        <v>0</v>
      </c>
      <c r="G16" s="47">
        <f>E16-F16-H16</f>
        <v>0</v>
      </c>
      <c r="H16" s="453">
        <v>0</v>
      </c>
      <c r="I16" s="452">
        <v>0</v>
      </c>
      <c r="J16" s="504">
        <f t="shared" si="1"/>
        <v>0</v>
      </c>
      <c r="K16" s="512">
        <f t="shared" si="0"/>
        <v>0</v>
      </c>
      <c r="L16" s="401">
        <f t="shared" si="2"/>
        <v>0</v>
      </c>
      <c r="M16" s="450"/>
    </row>
    <row r="17" spans="1:13" ht="12.75" customHeight="1" x14ac:dyDescent="0.2">
      <c r="A17" s="250">
        <v>7</v>
      </c>
      <c r="B17" s="668" t="s">
        <v>62</v>
      </c>
      <c r="C17" s="669"/>
      <c r="D17" s="53" t="s">
        <v>61</v>
      </c>
      <c r="E17" s="163">
        <f>SUM(E11:E16)</f>
        <v>0</v>
      </c>
      <c r="F17" s="34">
        <f>SUM(F11:F16)</f>
        <v>0</v>
      </c>
      <c r="G17" s="68">
        <f>SUM(G11:G16)</f>
        <v>0</v>
      </c>
      <c r="H17" s="95">
        <f>SUM(H11:H16)</f>
        <v>0</v>
      </c>
      <c r="I17" s="68">
        <f>SUM(I11:I16)</f>
        <v>0</v>
      </c>
      <c r="J17" s="500">
        <f t="shared" si="1"/>
        <v>0</v>
      </c>
      <c r="K17" s="513">
        <f t="shared" si="0"/>
        <v>0</v>
      </c>
      <c r="L17" s="79">
        <f t="shared" si="2"/>
        <v>0</v>
      </c>
      <c r="M17" s="451"/>
    </row>
    <row r="18" spans="1:13" ht="12.75" customHeight="1" x14ac:dyDescent="0.2">
      <c r="A18" s="249"/>
      <c r="B18" s="655" t="s">
        <v>64</v>
      </c>
      <c r="C18" s="653"/>
      <c r="D18" s="20"/>
      <c r="E18" s="164"/>
      <c r="F18" s="114"/>
      <c r="G18" s="93"/>
      <c r="H18" s="115"/>
      <c r="I18" s="93"/>
      <c r="J18" s="406"/>
      <c r="K18" s="406"/>
      <c r="L18" s="406"/>
      <c r="M18" s="411"/>
    </row>
    <row r="19" spans="1:13" ht="12.75" customHeight="1" x14ac:dyDescent="0.2">
      <c r="A19" s="249">
        <v>8</v>
      </c>
      <c r="B19" s="670" t="s">
        <v>106</v>
      </c>
      <c r="C19" s="671"/>
      <c r="D19" s="20"/>
      <c r="E19" s="162"/>
      <c r="F19" s="539">
        <v>0</v>
      </c>
      <c r="G19" s="540">
        <v>0</v>
      </c>
      <c r="H19" s="541">
        <v>0</v>
      </c>
      <c r="I19" s="377"/>
      <c r="J19" s="498"/>
      <c r="K19" s="512">
        <f t="shared" ref="K19:K27" si="3">E19-J19</f>
        <v>0</v>
      </c>
      <c r="L19" s="401"/>
      <c r="M19" s="378"/>
    </row>
    <row r="20" spans="1:13" ht="12.75" customHeight="1" x14ac:dyDescent="0.2">
      <c r="A20" s="249">
        <v>9</v>
      </c>
      <c r="B20" s="644" t="s">
        <v>33</v>
      </c>
      <c r="C20" s="645"/>
      <c r="D20" s="20">
        <v>5220</v>
      </c>
      <c r="E20" s="162">
        <f>SUM(F20:H20)</f>
        <v>0</v>
      </c>
      <c r="F20" s="538">
        <f>SUM(F11+F12)*F19</f>
        <v>0</v>
      </c>
      <c r="G20" s="538">
        <f>SUM(G11+G12)*G19</f>
        <v>0</v>
      </c>
      <c r="H20" s="538"/>
      <c r="I20" s="452">
        <v>0</v>
      </c>
      <c r="J20" s="504">
        <f t="shared" ref="J20:J27" si="4">SUM(I20/8)*12</f>
        <v>0</v>
      </c>
      <c r="K20" s="512">
        <f t="shared" si="3"/>
        <v>0</v>
      </c>
      <c r="L20" s="401">
        <f>IFERROR(K20/J20,0)</f>
        <v>0</v>
      </c>
      <c r="M20" s="451"/>
    </row>
    <row r="21" spans="1:13" ht="12.75" customHeight="1" x14ac:dyDescent="0.2">
      <c r="A21" s="249">
        <v>10</v>
      </c>
      <c r="B21" s="644" t="s">
        <v>34</v>
      </c>
      <c r="C21" s="645"/>
      <c r="D21" s="20">
        <v>5240</v>
      </c>
      <c r="E21" s="162">
        <f>SUM(F21:H21)</f>
        <v>0</v>
      </c>
      <c r="F21" s="47"/>
      <c r="G21" s="44"/>
      <c r="H21" s="90">
        <f>H19*H13</f>
        <v>0</v>
      </c>
      <c r="I21" s="452">
        <v>0</v>
      </c>
      <c r="J21" s="504">
        <f t="shared" si="4"/>
        <v>0</v>
      </c>
      <c r="K21" s="512">
        <f t="shared" si="3"/>
        <v>0</v>
      </c>
      <c r="L21" s="401">
        <f t="shared" ref="L21:L27" si="5">IFERROR(K21/J21,0)</f>
        <v>0</v>
      </c>
      <c r="M21" s="451"/>
    </row>
    <row r="22" spans="1:13" ht="12.75" customHeight="1" x14ac:dyDescent="0.2">
      <c r="A22" s="249">
        <v>11</v>
      </c>
      <c r="B22" s="644" t="s">
        <v>35</v>
      </c>
      <c r="C22" s="645"/>
      <c r="D22" s="20">
        <v>5250</v>
      </c>
      <c r="E22" s="162">
        <f>SUM(F22:H22)</f>
        <v>0</v>
      </c>
      <c r="F22" s="445">
        <v>0</v>
      </c>
      <c r="G22" s="455">
        <v>0</v>
      </c>
      <c r="H22" s="453">
        <v>0</v>
      </c>
      <c r="I22" s="455">
        <v>0</v>
      </c>
      <c r="J22" s="505">
        <f t="shared" si="4"/>
        <v>0</v>
      </c>
      <c r="K22" s="512">
        <f t="shared" si="3"/>
        <v>0</v>
      </c>
      <c r="L22" s="401">
        <f t="shared" si="5"/>
        <v>0</v>
      </c>
      <c r="M22" s="451"/>
    </row>
    <row r="23" spans="1:13" ht="12.75" customHeight="1" x14ac:dyDescent="0.2">
      <c r="A23" s="249">
        <v>12</v>
      </c>
      <c r="B23" s="644" t="s">
        <v>30</v>
      </c>
      <c r="C23" s="645"/>
      <c r="D23" s="20">
        <v>5270</v>
      </c>
      <c r="E23" s="162">
        <f>SUM(F23:H23)</f>
        <v>0</v>
      </c>
      <c r="F23" s="445">
        <v>0</v>
      </c>
      <c r="G23" s="452">
        <v>0</v>
      </c>
      <c r="H23" s="453">
        <v>0</v>
      </c>
      <c r="I23" s="452">
        <v>0</v>
      </c>
      <c r="J23" s="504">
        <f t="shared" si="4"/>
        <v>0</v>
      </c>
      <c r="K23" s="512">
        <f t="shared" si="3"/>
        <v>0</v>
      </c>
      <c r="L23" s="401">
        <f t="shared" si="5"/>
        <v>0</v>
      </c>
      <c r="M23" s="451"/>
    </row>
    <row r="24" spans="1:13" ht="12.75" customHeight="1" x14ac:dyDescent="0.2">
      <c r="A24" s="249">
        <v>13</v>
      </c>
      <c r="B24" s="644" t="s">
        <v>88</v>
      </c>
      <c r="C24" s="645"/>
      <c r="D24" s="20">
        <v>5290</v>
      </c>
      <c r="E24" s="162">
        <f>SUM(F24:H24)</f>
        <v>0</v>
      </c>
      <c r="F24" s="445">
        <v>0</v>
      </c>
      <c r="G24" s="452">
        <v>0</v>
      </c>
      <c r="H24" s="453">
        <v>0</v>
      </c>
      <c r="I24" s="452">
        <v>0</v>
      </c>
      <c r="J24" s="504">
        <f t="shared" si="4"/>
        <v>0</v>
      </c>
      <c r="K24" s="512">
        <f t="shared" si="3"/>
        <v>0</v>
      </c>
      <c r="L24" s="401">
        <f t="shared" si="5"/>
        <v>0</v>
      </c>
      <c r="M24" s="450"/>
    </row>
    <row r="25" spans="1:13" ht="12.75" customHeight="1" x14ac:dyDescent="0.2">
      <c r="A25" s="250">
        <v>14</v>
      </c>
      <c r="B25" s="699" t="s">
        <v>65</v>
      </c>
      <c r="C25" s="669"/>
      <c r="D25" s="53" t="s">
        <v>66</v>
      </c>
      <c r="E25" s="163">
        <f>SUM(E20:E24)</f>
        <v>0</v>
      </c>
      <c r="F25" s="34">
        <f>SUM(F20:F24)</f>
        <v>0</v>
      </c>
      <c r="G25" s="68">
        <f>SUM(G20:G24)</f>
        <v>0</v>
      </c>
      <c r="H25" s="95">
        <f>SUM(H20:H24)</f>
        <v>0</v>
      </c>
      <c r="I25" s="68">
        <f>SUM(I20:I24)</f>
        <v>0</v>
      </c>
      <c r="J25" s="500">
        <f t="shared" si="4"/>
        <v>0</v>
      </c>
      <c r="K25" s="515">
        <f t="shared" si="3"/>
        <v>0</v>
      </c>
      <c r="L25" s="79">
        <f t="shared" si="5"/>
        <v>0</v>
      </c>
      <c r="M25" s="451"/>
    </row>
    <row r="26" spans="1:13" ht="12.75" customHeight="1" x14ac:dyDescent="0.2">
      <c r="A26" s="264">
        <v>15</v>
      </c>
      <c r="B26" s="700" t="s">
        <v>71</v>
      </c>
      <c r="C26" s="667"/>
      <c r="D26" s="54" t="s">
        <v>72</v>
      </c>
      <c r="E26" s="165">
        <f>E17-E25</f>
        <v>0</v>
      </c>
      <c r="F26" s="67">
        <f>F17-F25</f>
        <v>0</v>
      </c>
      <c r="G26" s="67">
        <f>G17-G25</f>
        <v>0</v>
      </c>
      <c r="H26" s="96">
        <f>H17-H25</f>
        <v>0</v>
      </c>
      <c r="I26" s="67">
        <f>I17-I25</f>
        <v>0</v>
      </c>
      <c r="J26" s="506">
        <f t="shared" si="4"/>
        <v>0</v>
      </c>
      <c r="K26" s="517">
        <f t="shared" si="3"/>
        <v>0</v>
      </c>
      <c r="L26" s="402">
        <f t="shared" si="5"/>
        <v>0</v>
      </c>
      <c r="M26" s="451"/>
    </row>
    <row r="27" spans="1:13" ht="12.75" customHeight="1" x14ac:dyDescent="0.2">
      <c r="A27" s="249">
        <v>16</v>
      </c>
      <c r="B27" s="650" t="s">
        <v>261</v>
      </c>
      <c r="C27" s="651"/>
      <c r="D27" s="53">
        <v>5390</v>
      </c>
      <c r="E27" s="306">
        <f>G84</f>
        <v>0</v>
      </c>
      <c r="F27" s="9">
        <f>(E27-H27)*IF(' 2. Checklist and Cert - 170'!$L$5=0,' 2. Checklist and Cert - 170'!$L$4,' 2. Checklist and Cert - 170'!$L$5)</f>
        <v>0</v>
      </c>
      <c r="G27" s="241">
        <f>E27-F27-H27</f>
        <v>0</v>
      </c>
      <c r="H27" s="456">
        <v>0</v>
      </c>
      <c r="I27" s="518">
        <v>0</v>
      </c>
      <c r="J27" s="519">
        <f t="shared" si="4"/>
        <v>0</v>
      </c>
      <c r="K27" s="516">
        <f t="shared" si="3"/>
        <v>0</v>
      </c>
      <c r="L27" s="403">
        <f t="shared" si="5"/>
        <v>0</v>
      </c>
      <c r="M27" s="449"/>
    </row>
    <row r="28" spans="1:13" ht="12.75" customHeight="1" x14ac:dyDescent="0.2">
      <c r="A28" s="248"/>
      <c r="B28" s="652" t="s">
        <v>274</v>
      </c>
      <c r="C28" s="653"/>
      <c r="D28" s="65"/>
      <c r="E28" s="166"/>
      <c r="F28" s="66"/>
      <c r="G28" s="116"/>
      <c r="H28" s="117"/>
      <c r="I28" s="116"/>
      <c r="J28" s="408"/>
      <c r="K28" s="408"/>
      <c r="L28" s="408"/>
      <c r="M28" s="379"/>
    </row>
    <row r="29" spans="1:13" ht="12.75" customHeight="1" x14ac:dyDescent="0.2">
      <c r="A29" s="249">
        <v>17</v>
      </c>
      <c r="B29" s="644" t="s">
        <v>115</v>
      </c>
      <c r="C29" s="645"/>
      <c r="D29" s="20">
        <v>5410</v>
      </c>
      <c r="E29" s="457">
        <v>0</v>
      </c>
      <c r="F29" s="529">
        <f>(E29-H29)*IF(' 2. Checklist and Cert - 170'!$L$5=0,' 2. Checklist and Cert - 170'!$L$4,' 2. Checklist and Cert - 170'!$L$5)</f>
        <v>0</v>
      </c>
      <c r="G29" s="75">
        <f>E29-F29-H29</f>
        <v>0</v>
      </c>
      <c r="H29" s="453">
        <v>0</v>
      </c>
      <c r="I29" s="452">
        <v>0</v>
      </c>
      <c r="J29" s="504">
        <f t="shared" ref="J29:J31" si="6">SUM(I29/8)*12</f>
        <v>0</v>
      </c>
      <c r="K29" s="512">
        <f>E29-J29</f>
        <v>0</v>
      </c>
      <c r="L29" s="401">
        <f t="shared" ref="L29:L31" si="7">IFERROR(K29/J29,0)</f>
        <v>0</v>
      </c>
      <c r="M29" s="451"/>
    </row>
    <row r="30" spans="1:13" ht="12.75" customHeight="1" x14ac:dyDescent="0.2">
      <c r="A30" s="249">
        <v>18</v>
      </c>
      <c r="B30" s="644" t="s">
        <v>208</v>
      </c>
      <c r="C30" s="645"/>
      <c r="D30" s="20">
        <v>5490</v>
      </c>
      <c r="E30" s="161">
        <f>G91</f>
        <v>0</v>
      </c>
      <c r="F30" s="529">
        <f>(E30-H30)*IF(' 2. Checklist and Cert - 170'!$L$5=0,' 2. Checklist and Cert - 170'!$L$4,' 2. Checklist and Cert - 170'!$L$5)</f>
        <v>0</v>
      </c>
      <c r="G30" s="75">
        <f>E30-F30-H30</f>
        <v>0</v>
      </c>
      <c r="H30" s="453">
        <v>0</v>
      </c>
      <c r="I30" s="452">
        <v>0</v>
      </c>
      <c r="J30" s="504">
        <f t="shared" si="6"/>
        <v>0</v>
      </c>
      <c r="K30" s="512">
        <f>E30-J30</f>
        <v>0</v>
      </c>
      <c r="L30" s="401">
        <f t="shared" si="7"/>
        <v>0</v>
      </c>
      <c r="M30" s="451"/>
    </row>
    <row r="31" spans="1:13" ht="12.75" customHeight="1" x14ac:dyDescent="0.2">
      <c r="A31" s="249">
        <v>19</v>
      </c>
      <c r="B31" s="672" t="s">
        <v>210</v>
      </c>
      <c r="C31" s="673"/>
      <c r="D31" s="53" t="s">
        <v>209</v>
      </c>
      <c r="E31" s="306">
        <f>SUM(E29:E30)</f>
        <v>0</v>
      </c>
      <c r="F31" s="9">
        <f>SUM(F29:F30)</f>
        <v>0</v>
      </c>
      <c r="G31" s="241">
        <f>SUM(G29:G30)</f>
        <v>0</v>
      </c>
      <c r="H31" s="307">
        <f>SUM(H29:H30)</f>
        <v>0</v>
      </c>
      <c r="I31" s="241">
        <f>SUM(I29:I30)</f>
        <v>0</v>
      </c>
      <c r="J31" s="499">
        <f t="shared" si="6"/>
        <v>0</v>
      </c>
      <c r="K31" s="516">
        <f>E31-J31</f>
        <v>0</v>
      </c>
      <c r="L31" s="403">
        <f t="shared" si="7"/>
        <v>0</v>
      </c>
      <c r="M31" s="449"/>
    </row>
    <row r="32" spans="1:13" ht="12.75" customHeight="1" x14ac:dyDescent="0.2">
      <c r="A32" s="249"/>
      <c r="B32" s="655" t="s">
        <v>68</v>
      </c>
      <c r="C32" s="653"/>
      <c r="D32" s="20"/>
      <c r="E32" s="167"/>
      <c r="F32" s="64"/>
      <c r="G32" s="61"/>
      <c r="H32" s="97"/>
      <c r="I32" s="61"/>
      <c r="J32" s="405"/>
      <c r="K32" s="409"/>
      <c r="L32" s="409"/>
      <c r="M32" s="411"/>
    </row>
    <row r="33" spans="1:13" ht="12.75" customHeight="1" x14ac:dyDescent="0.2">
      <c r="A33" s="249">
        <v>20</v>
      </c>
      <c r="B33" s="654" t="s">
        <v>36</v>
      </c>
      <c r="C33" s="645"/>
      <c r="D33" s="20">
        <v>5910</v>
      </c>
      <c r="E33" s="457">
        <v>0</v>
      </c>
      <c r="F33" s="13">
        <f>(E33-H33)*IF(' 2. Checklist and Cert - 170'!$L$5=0,' 2. Checklist and Cert - 170'!$L$4,' 2. Checklist and Cert - 170'!$L$5)</f>
        <v>0</v>
      </c>
      <c r="G33" s="47">
        <f>E33-F33-H33</f>
        <v>0</v>
      </c>
      <c r="H33" s="453">
        <v>0</v>
      </c>
      <c r="I33" s="452">
        <v>0</v>
      </c>
      <c r="J33" s="504">
        <f t="shared" ref="J33:J37" si="8">SUM(I33/8)*12</f>
        <v>0</v>
      </c>
      <c r="K33" s="512">
        <f t="shared" ref="K33:K39" si="9">E33-J33</f>
        <v>0</v>
      </c>
      <c r="L33" s="401">
        <f t="shared" ref="L33:L39" si="10">IFERROR(K33/J33,0)</f>
        <v>0</v>
      </c>
      <c r="M33" s="449"/>
    </row>
    <row r="34" spans="1:13" ht="12.75" customHeight="1" x14ac:dyDescent="0.2">
      <c r="A34" s="249">
        <v>21</v>
      </c>
      <c r="B34" s="644" t="s">
        <v>202</v>
      </c>
      <c r="C34" s="645"/>
      <c r="D34" s="20">
        <v>5920</v>
      </c>
      <c r="E34" s="457">
        <v>0</v>
      </c>
      <c r="F34" s="13">
        <f>(E34-H34)*IF(' 2. Checklist and Cert - 170'!$L$5=0,' 2. Checklist and Cert - 170'!$L$4,' 2. Checklist and Cert - 170'!$L$5)</f>
        <v>0</v>
      </c>
      <c r="G34" s="47">
        <f>E34-F34-H34</f>
        <v>0</v>
      </c>
      <c r="H34" s="453">
        <v>0</v>
      </c>
      <c r="I34" s="452">
        <v>0</v>
      </c>
      <c r="J34" s="504">
        <f t="shared" si="8"/>
        <v>0</v>
      </c>
      <c r="K34" s="512">
        <f t="shared" si="9"/>
        <v>0</v>
      </c>
      <c r="L34" s="401">
        <f t="shared" si="10"/>
        <v>0</v>
      </c>
      <c r="M34" s="451"/>
    </row>
    <row r="35" spans="1:13" ht="12.75" customHeight="1" x14ac:dyDescent="0.2">
      <c r="A35" s="249">
        <v>22</v>
      </c>
      <c r="B35" s="654" t="s">
        <v>113</v>
      </c>
      <c r="C35" s="645"/>
      <c r="D35" s="20">
        <v>5990</v>
      </c>
      <c r="E35" s="161">
        <f>G100</f>
        <v>0</v>
      </c>
      <c r="F35" s="13">
        <f>(E35-H35)*IF(' 2. Checklist and Cert - 170'!$L$5=0,' 2. Checklist and Cert - 170'!$L$4,' 2. Checklist and Cert - 170'!$L$5)</f>
        <v>0</v>
      </c>
      <c r="G35" s="47">
        <f>E35-F35-H35</f>
        <v>0</v>
      </c>
      <c r="H35" s="453">
        <v>0</v>
      </c>
      <c r="I35" s="452">
        <v>0</v>
      </c>
      <c r="J35" s="504">
        <f t="shared" si="8"/>
        <v>0</v>
      </c>
      <c r="K35" s="512">
        <f t="shared" si="9"/>
        <v>0</v>
      </c>
      <c r="L35" s="401">
        <f t="shared" si="10"/>
        <v>0</v>
      </c>
      <c r="M35" s="451"/>
    </row>
    <row r="36" spans="1:13" ht="12.75" customHeight="1" x14ac:dyDescent="0.2">
      <c r="A36" s="250">
        <v>23</v>
      </c>
      <c r="B36" s="668" t="s">
        <v>69</v>
      </c>
      <c r="C36" s="669"/>
      <c r="D36" s="53" t="s">
        <v>70</v>
      </c>
      <c r="E36" s="163">
        <f>SUM(E33:E35)</f>
        <v>0</v>
      </c>
      <c r="F36" s="45">
        <f>SUM(F33:F35)</f>
        <v>0</v>
      </c>
      <c r="G36" s="118">
        <f>SUM(G33:G35)</f>
        <v>0</v>
      </c>
      <c r="H36" s="91">
        <f>SUM(H33:H35)</f>
        <v>0</v>
      </c>
      <c r="I36" s="118">
        <f>SUM(I33:I35)</f>
        <v>0</v>
      </c>
      <c r="J36" s="500">
        <f t="shared" si="8"/>
        <v>0</v>
      </c>
      <c r="K36" s="516">
        <f t="shared" si="9"/>
        <v>0</v>
      </c>
      <c r="L36" s="402">
        <f t="shared" si="10"/>
        <v>0</v>
      </c>
      <c r="M36" s="454"/>
    </row>
    <row r="37" spans="1:13" ht="12.75" customHeight="1" x14ac:dyDescent="0.2">
      <c r="A37" s="265">
        <v>24</v>
      </c>
      <c r="B37" s="666" t="s">
        <v>73</v>
      </c>
      <c r="C37" s="667"/>
      <c r="D37" s="54" t="s">
        <v>74</v>
      </c>
      <c r="E37" s="168">
        <f>E26+E27+E31+E36</f>
        <v>0</v>
      </c>
      <c r="F37" s="84">
        <f>F26+F27+F31+F36</f>
        <v>0</v>
      </c>
      <c r="G37" s="40">
        <f>G26+G27+G31+G36</f>
        <v>0</v>
      </c>
      <c r="H37" s="98">
        <f>H26+H27+H31+H36</f>
        <v>0</v>
      </c>
      <c r="I37" s="40">
        <f>I26+I27+I31+I36</f>
        <v>0</v>
      </c>
      <c r="J37" s="112">
        <f t="shared" si="8"/>
        <v>0</v>
      </c>
      <c r="K37" s="517">
        <f t="shared" si="9"/>
        <v>0</v>
      </c>
      <c r="L37" s="407">
        <f t="shared" si="10"/>
        <v>0</v>
      </c>
      <c r="M37" s="451"/>
    </row>
    <row r="38" spans="1:13" ht="12.75" customHeight="1" x14ac:dyDescent="0.2">
      <c r="A38" s="265">
        <v>25</v>
      </c>
      <c r="B38" s="666" t="s">
        <v>213</v>
      </c>
      <c r="C38" s="667"/>
      <c r="D38" s="54" t="s">
        <v>24</v>
      </c>
      <c r="E38" s="168">
        <f>'4. Proposed Cost of Ops - 172'!E64</f>
        <v>0</v>
      </c>
      <c r="F38" s="84">
        <f>'4. Proposed Cost of Ops - 172'!G64</f>
        <v>0</v>
      </c>
      <c r="G38" s="74">
        <f>'4. Proposed Cost of Ops - 172'!H64</f>
        <v>0</v>
      </c>
      <c r="H38" s="98">
        <f>'4. Proposed Cost of Ops - 172'!I64</f>
        <v>0</v>
      </c>
      <c r="I38" s="74">
        <f>'4. Proposed Cost of Ops - 172'!J64</f>
        <v>0</v>
      </c>
      <c r="J38" s="501">
        <f>'4. Proposed Cost of Ops - 172'!K64</f>
        <v>0</v>
      </c>
      <c r="K38" s="517">
        <f t="shared" si="9"/>
        <v>0</v>
      </c>
      <c r="L38" s="407">
        <f t="shared" si="10"/>
        <v>0</v>
      </c>
      <c r="M38" s="451"/>
    </row>
    <row r="39" spans="1:13" ht="12.75" customHeight="1" x14ac:dyDescent="0.2">
      <c r="A39" s="265">
        <v>26</v>
      </c>
      <c r="B39" s="666" t="s">
        <v>75</v>
      </c>
      <c r="C39" s="667"/>
      <c r="D39" s="55" t="s">
        <v>76</v>
      </c>
      <c r="E39" s="168">
        <f>E37-E38</f>
        <v>0</v>
      </c>
      <c r="F39" s="84">
        <f>F37-F38</f>
        <v>0</v>
      </c>
      <c r="G39" s="74">
        <f>G37-G38</f>
        <v>0</v>
      </c>
      <c r="H39" s="98">
        <f>H37-H38</f>
        <v>0</v>
      </c>
      <c r="I39" s="74">
        <f t="shared" ref="I39:J39" si="11">I37-I38</f>
        <v>0</v>
      </c>
      <c r="J39" s="501">
        <f t="shared" si="11"/>
        <v>0</v>
      </c>
      <c r="K39" s="517">
        <f t="shared" si="9"/>
        <v>0</v>
      </c>
      <c r="L39" s="407">
        <f t="shared" si="10"/>
        <v>0</v>
      </c>
      <c r="M39" s="451"/>
    </row>
    <row r="40" spans="1:13" ht="12.75" customHeight="1" x14ac:dyDescent="0.2">
      <c r="A40" s="251"/>
      <c r="B40" s="655" t="s">
        <v>205</v>
      </c>
      <c r="C40" s="653"/>
      <c r="D40" s="62"/>
      <c r="E40" s="161"/>
      <c r="F40" s="47"/>
      <c r="G40" s="44"/>
      <c r="H40" s="90"/>
      <c r="I40" s="44"/>
      <c r="J40" s="43"/>
      <c r="K40" s="43"/>
      <c r="L40" s="43"/>
      <c r="M40" s="411"/>
    </row>
    <row r="41" spans="1:13" ht="12.75" customHeight="1" x14ac:dyDescent="0.2">
      <c r="A41" s="251">
        <v>27</v>
      </c>
      <c r="B41" s="113" t="s">
        <v>102</v>
      </c>
      <c r="C41" s="441"/>
      <c r="D41" s="20">
        <v>6820</v>
      </c>
      <c r="E41" s="457">
        <v>0</v>
      </c>
      <c r="F41" s="529">
        <f>(E41-H41)*IF(' 2. Checklist and Cert - 170'!$L$5=0,' 2. Checklist and Cert - 170'!$L$4,' 2. Checklist and Cert - 170'!$L$5)</f>
        <v>0</v>
      </c>
      <c r="G41" s="47">
        <f t="shared" ref="G41:G46" si="12">E41-F41-H41</f>
        <v>0</v>
      </c>
      <c r="H41" s="453">
        <v>0</v>
      </c>
      <c r="I41" s="452">
        <v>0</v>
      </c>
      <c r="J41" s="504">
        <f t="shared" ref="J41:J47" si="13">SUM(I41/8)*12</f>
        <v>0</v>
      </c>
      <c r="K41" s="512">
        <f t="shared" ref="K41:K47" si="14">E41-J41</f>
        <v>0</v>
      </c>
      <c r="L41" s="401">
        <f t="shared" ref="L41:L47" si="15">IFERROR(K41/J41,0)</f>
        <v>0</v>
      </c>
      <c r="M41" s="449"/>
    </row>
    <row r="42" spans="1:13" ht="12.75" customHeight="1" x14ac:dyDescent="0.2">
      <c r="A42" s="251">
        <v>28</v>
      </c>
      <c r="B42" s="113" t="s">
        <v>103</v>
      </c>
      <c r="C42" s="441"/>
      <c r="D42" s="20">
        <v>6825</v>
      </c>
      <c r="E42" s="457">
        <v>0</v>
      </c>
      <c r="F42" s="529">
        <f>(E42-H42)*IF(' 2. Checklist and Cert - 170'!$L$5=0,' 2. Checklist and Cert - 170'!$L$4,' 2. Checklist and Cert - 170'!$L$5)</f>
        <v>0</v>
      </c>
      <c r="G42" s="47">
        <f t="shared" si="12"/>
        <v>0</v>
      </c>
      <c r="H42" s="453">
        <v>0</v>
      </c>
      <c r="I42" s="452">
        <v>0</v>
      </c>
      <c r="J42" s="504">
        <f t="shared" si="13"/>
        <v>0</v>
      </c>
      <c r="K42" s="512">
        <f t="shared" si="14"/>
        <v>0</v>
      </c>
      <c r="L42" s="401">
        <f t="shared" si="15"/>
        <v>0</v>
      </c>
      <c r="M42" s="449"/>
    </row>
    <row r="43" spans="1:13" ht="12.75" customHeight="1" x14ac:dyDescent="0.2">
      <c r="A43" s="251">
        <v>29</v>
      </c>
      <c r="B43" s="113" t="s">
        <v>104</v>
      </c>
      <c r="C43" s="441"/>
      <c r="D43" s="20">
        <v>6825</v>
      </c>
      <c r="E43" s="457">
        <v>0</v>
      </c>
      <c r="F43" s="529">
        <f>(E43-H43)*IF(' 2. Checklist and Cert - 170'!$L$5=0,' 2. Checklist and Cert - 170'!$L$4,' 2. Checklist and Cert - 170'!$L$5)</f>
        <v>0</v>
      </c>
      <c r="G43" s="47">
        <f t="shared" si="12"/>
        <v>0</v>
      </c>
      <c r="H43" s="453">
        <v>0</v>
      </c>
      <c r="I43" s="452">
        <v>0</v>
      </c>
      <c r="J43" s="504">
        <f t="shared" si="13"/>
        <v>0</v>
      </c>
      <c r="K43" s="512">
        <f t="shared" si="14"/>
        <v>0</v>
      </c>
      <c r="L43" s="401">
        <f t="shared" si="15"/>
        <v>0</v>
      </c>
      <c r="M43" s="449"/>
    </row>
    <row r="44" spans="1:13" ht="12.75" customHeight="1" x14ac:dyDescent="0.2">
      <c r="A44" s="251">
        <v>30</v>
      </c>
      <c r="B44" s="654" t="s">
        <v>320</v>
      </c>
      <c r="C44" s="645"/>
      <c r="D44" s="20">
        <v>6825</v>
      </c>
      <c r="E44" s="457">
        <v>0</v>
      </c>
      <c r="F44" s="13">
        <f>(E44-H44)*IF(' 2. Checklist and Cert - 170'!$L$5=0,' 2. Checklist and Cert - 170'!$L$4,' 2. Checklist and Cert - 170'!$L$5)</f>
        <v>0</v>
      </c>
      <c r="G44" s="47">
        <f t="shared" si="12"/>
        <v>0</v>
      </c>
      <c r="H44" s="453">
        <v>0</v>
      </c>
      <c r="I44" s="452">
        <v>0</v>
      </c>
      <c r="J44" s="504">
        <f t="shared" si="13"/>
        <v>0</v>
      </c>
      <c r="K44" s="512">
        <f t="shared" si="14"/>
        <v>0</v>
      </c>
      <c r="L44" s="401">
        <f t="shared" si="15"/>
        <v>0</v>
      </c>
      <c r="M44" s="451"/>
    </row>
    <row r="45" spans="1:13" ht="12.75" customHeight="1" x14ac:dyDescent="0.2">
      <c r="A45" s="251">
        <v>31</v>
      </c>
      <c r="B45" s="654" t="s">
        <v>37</v>
      </c>
      <c r="C45" s="645"/>
      <c r="D45" s="20">
        <v>6890</v>
      </c>
      <c r="E45" s="457">
        <v>0</v>
      </c>
      <c r="F45" s="13">
        <f>(E45-H45)*IF(' 2. Checklist and Cert - 170'!$L$5=0,' 2. Checklist and Cert - 170'!$L$4,' 2. Checklist and Cert - 170'!$L$5)</f>
        <v>0</v>
      </c>
      <c r="G45" s="47">
        <f t="shared" si="12"/>
        <v>0</v>
      </c>
      <c r="H45" s="453">
        <v>0</v>
      </c>
      <c r="I45" s="452">
        <v>0</v>
      </c>
      <c r="J45" s="504">
        <f t="shared" si="13"/>
        <v>0</v>
      </c>
      <c r="K45" s="512">
        <f t="shared" si="14"/>
        <v>0</v>
      </c>
      <c r="L45" s="401">
        <f t="shared" si="15"/>
        <v>0</v>
      </c>
      <c r="M45" s="451"/>
    </row>
    <row r="46" spans="1:13" ht="12.75" customHeight="1" x14ac:dyDescent="0.2">
      <c r="A46" s="251">
        <v>32</v>
      </c>
      <c r="B46" s="654" t="s">
        <v>96</v>
      </c>
      <c r="C46" s="645"/>
      <c r="D46" s="62">
        <v>6890</v>
      </c>
      <c r="E46" s="161">
        <f>G107</f>
        <v>0</v>
      </c>
      <c r="F46" s="529">
        <f>(E46-H46)*IF(' 2. Checklist and Cert - 170'!$L$5=0,' 2. Checklist and Cert - 170'!$L$4,' 2. Checklist and Cert - 170'!$L$5)</f>
        <v>0</v>
      </c>
      <c r="G46" s="47">
        <f t="shared" si="12"/>
        <v>0</v>
      </c>
      <c r="H46" s="458">
        <v>0</v>
      </c>
      <c r="I46" s="452">
        <v>0</v>
      </c>
      <c r="J46" s="504">
        <f t="shared" si="13"/>
        <v>0</v>
      </c>
      <c r="K46" s="512">
        <f t="shared" si="14"/>
        <v>0</v>
      </c>
      <c r="L46" s="401">
        <f t="shared" si="15"/>
        <v>0</v>
      </c>
      <c r="M46" s="450"/>
    </row>
    <row r="47" spans="1:13" ht="12.75" customHeight="1" x14ac:dyDescent="0.2">
      <c r="A47" s="284">
        <v>33</v>
      </c>
      <c r="B47" s="668" t="s">
        <v>97</v>
      </c>
      <c r="C47" s="669"/>
      <c r="D47" s="53" t="s">
        <v>98</v>
      </c>
      <c r="E47" s="169">
        <f>SUM(E41:E46)</f>
        <v>0</v>
      </c>
      <c r="F47" s="119">
        <f>SUM(F41:F46)</f>
        <v>0</v>
      </c>
      <c r="G47" s="120">
        <f>SUM(G41:G46)</f>
        <v>0</v>
      </c>
      <c r="H47" s="121">
        <f>SUM(H41:H46)</f>
        <v>0</v>
      </c>
      <c r="I47" s="120">
        <f>SUM(I41:I46)</f>
        <v>0</v>
      </c>
      <c r="J47" s="502">
        <f t="shared" si="13"/>
        <v>0</v>
      </c>
      <c r="K47" s="513">
        <f t="shared" si="14"/>
        <v>0</v>
      </c>
      <c r="L47" s="402">
        <f t="shared" si="15"/>
        <v>0</v>
      </c>
      <c r="M47" s="451"/>
    </row>
    <row r="48" spans="1:13" ht="12.75" customHeight="1" x14ac:dyDescent="0.2">
      <c r="A48" s="249"/>
      <c r="B48" s="655" t="s">
        <v>101</v>
      </c>
      <c r="C48" s="653"/>
      <c r="D48" s="20"/>
      <c r="E48" s="161"/>
      <c r="F48" s="122"/>
      <c r="G48" s="123"/>
      <c r="H48" s="124"/>
      <c r="I48" s="123"/>
      <c r="J48" s="410"/>
      <c r="K48" s="410"/>
      <c r="L48" s="410"/>
      <c r="M48" s="379"/>
    </row>
    <row r="49" spans="1:13" ht="12.75" customHeight="1" x14ac:dyDescent="0.2">
      <c r="A49" s="249">
        <v>34</v>
      </c>
      <c r="B49" s="654" t="s">
        <v>93</v>
      </c>
      <c r="C49" s="645"/>
      <c r="D49" s="20">
        <v>1320</v>
      </c>
      <c r="E49" s="457">
        <v>0</v>
      </c>
      <c r="F49" s="13">
        <f>(E49-H49)*IF(' 2. Checklist and Cert - 170'!$L$5=0,' 2. Checklist and Cert - 170'!$L$4,' 2. Checklist and Cert - 170'!$L$5)</f>
        <v>0</v>
      </c>
      <c r="G49" s="47">
        <f>E49-F49-H49</f>
        <v>0</v>
      </c>
      <c r="H49" s="458">
        <v>0</v>
      </c>
      <c r="I49" s="452">
        <v>0</v>
      </c>
      <c r="J49" s="504">
        <f t="shared" ref="J49:J55" si="16">SUM(I49/8)*12</f>
        <v>0</v>
      </c>
      <c r="K49" s="512">
        <f t="shared" ref="K49:K55" si="17">E49-J49</f>
        <v>0</v>
      </c>
      <c r="L49" s="401">
        <f t="shared" ref="L49:L55" si="18">IFERROR(K49/J49,0)</f>
        <v>0</v>
      </c>
      <c r="M49" s="459"/>
    </row>
    <row r="50" spans="1:13" ht="12.75" customHeight="1" x14ac:dyDescent="0.2">
      <c r="A50" s="249">
        <v>35</v>
      </c>
      <c r="B50" s="654" t="s">
        <v>94</v>
      </c>
      <c r="C50" s="645"/>
      <c r="D50" s="20">
        <v>1330</v>
      </c>
      <c r="E50" s="457">
        <v>0</v>
      </c>
      <c r="F50" s="13">
        <f>(E50-H50)*IF(' 2. Checklist and Cert - 170'!$L$5=0,' 2. Checklist and Cert - 170'!$L$4,' 2. Checklist and Cert - 170'!$L$5)</f>
        <v>0</v>
      </c>
      <c r="G50" s="47">
        <f>E50-F50-H50</f>
        <v>0</v>
      </c>
      <c r="H50" s="458">
        <v>0</v>
      </c>
      <c r="I50" s="452">
        <v>0</v>
      </c>
      <c r="J50" s="504">
        <f t="shared" si="16"/>
        <v>0</v>
      </c>
      <c r="K50" s="512">
        <f t="shared" si="17"/>
        <v>0</v>
      </c>
      <c r="L50" s="401">
        <f t="shared" si="18"/>
        <v>0</v>
      </c>
      <c r="M50" s="459"/>
    </row>
    <row r="51" spans="1:13" ht="12.75" customHeight="1" x14ac:dyDescent="0.2">
      <c r="A51" s="249">
        <v>36</v>
      </c>
      <c r="B51" s="654" t="s">
        <v>95</v>
      </c>
      <c r="C51" s="645"/>
      <c r="D51" s="20">
        <v>1330</v>
      </c>
      <c r="E51" s="457">
        <v>0</v>
      </c>
      <c r="F51" s="13">
        <f>(E51-H51)*IF(' 2. Checklist and Cert - 170'!$L$5=0,' 2. Checklist and Cert - 170'!$L$4,' 2. Checklist and Cert - 170'!$L$5)</f>
        <v>0</v>
      </c>
      <c r="G51" s="47">
        <f>E51-F51-H51</f>
        <v>0</v>
      </c>
      <c r="H51" s="458">
        <v>0</v>
      </c>
      <c r="I51" s="452">
        <v>0</v>
      </c>
      <c r="J51" s="504">
        <f t="shared" si="16"/>
        <v>0</v>
      </c>
      <c r="K51" s="512">
        <f t="shared" si="17"/>
        <v>0</v>
      </c>
      <c r="L51" s="401">
        <f t="shared" si="18"/>
        <v>0</v>
      </c>
      <c r="M51" s="459"/>
    </row>
    <row r="52" spans="1:13" ht="12.75" customHeight="1" x14ac:dyDescent="0.2">
      <c r="A52" s="249">
        <v>37</v>
      </c>
      <c r="B52" s="12" t="s">
        <v>58</v>
      </c>
      <c r="C52" s="461"/>
      <c r="D52" s="20">
        <v>1330</v>
      </c>
      <c r="E52" s="457">
        <v>0</v>
      </c>
      <c r="F52" s="13">
        <f>(E52-H52)*IF(' 2. Checklist and Cert - 170'!$L$5=0,' 2. Checklist and Cert - 170'!$L$4,' 2. Checklist and Cert - 170'!$L$5)</f>
        <v>0</v>
      </c>
      <c r="G52" s="47">
        <f>E52-F52-H52</f>
        <v>0</v>
      </c>
      <c r="H52" s="453">
        <v>0</v>
      </c>
      <c r="I52" s="452">
        <v>0</v>
      </c>
      <c r="J52" s="504">
        <f t="shared" si="16"/>
        <v>0</v>
      </c>
      <c r="K52" s="512">
        <f t="shared" si="17"/>
        <v>0</v>
      </c>
      <c r="L52" s="401">
        <f t="shared" si="18"/>
        <v>0</v>
      </c>
      <c r="M52" s="459"/>
    </row>
    <row r="53" spans="1:13" ht="12.75" customHeight="1" x14ac:dyDescent="0.2">
      <c r="A53" s="249">
        <v>38</v>
      </c>
      <c r="B53" s="12" t="s">
        <v>58</v>
      </c>
      <c r="C53" s="462"/>
      <c r="D53" s="20">
        <v>1330</v>
      </c>
      <c r="E53" s="457">
        <v>0</v>
      </c>
      <c r="F53" s="13">
        <f>(E53-H53)*IF(' 2. Checklist and Cert - 170'!$L$5=0,' 2. Checklist and Cert - 170'!$L$4,' 2. Checklist and Cert - 170'!$L$5)</f>
        <v>0</v>
      </c>
      <c r="G53" s="47">
        <f>E53-F53-H53</f>
        <v>0</v>
      </c>
      <c r="H53" s="453">
        <v>0</v>
      </c>
      <c r="I53" s="452">
        <v>0</v>
      </c>
      <c r="J53" s="504">
        <f t="shared" si="16"/>
        <v>0</v>
      </c>
      <c r="K53" s="512">
        <f t="shared" si="17"/>
        <v>0</v>
      </c>
      <c r="L53" s="401">
        <f t="shared" si="18"/>
        <v>0</v>
      </c>
      <c r="M53" s="459"/>
    </row>
    <row r="54" spans="1:13" ht="12.75" customHeight="1" x14ac:dyDescent="0.2">
      <c r="A54" s="250">
        <v>39</v>
      </c>
      <c r="B54" s="668" t="s">
        <v>99</v>
      </c>
      <c r="C54" s="669"/>
      <c r="D54" s="53" t="s">
        <v>100</v>
      </c>
      <c r="E54" s="169">
        <f>SUM(E49:E53)</f>
        <v>0</v>
      </c>
      <c r="F54" s="119">
        <f>SUM(F49:F53)</f>
        <v>0</v>
      </c>
      <c r="G54" s="120">
        <f>SUM(G49:G53)</f>
        <v>0</v>
      </c>
      <c r="H54" s="121">
        <f>SUM(H49:H53)</f>
        <v>0</v>
      </c>
      <c r="I54" s="120">
        <f>SUM(I49:I53)</f>
        <v>0</v>
      </c>
      <c r="J54" s="502">
        <f t="shared" si="16"/>
        <v>0</v>
      </c>
      <c r="K54" s="513">
        <f t="shared" si="17"/>
        <v>0</v>
      </c>
      <c r="L54" s="402">
        <f t="shared" si="18"/>
        <v>0</v>
      </c>
      <c r="M54" s="460"/>
    </row>
    <row r="55" spans="1:13" ht="12.75" customHeight="1" x14ac:dyDescent="0.2">
      <c r="A55" s="249">
        <v>40</v>
      </c>
      <c r="B55" s="666" t="s">
        <v>86</v>
      </c>
      <c r="C55" s="667"/>
      <c r="D55" s="56"/>
      <c r="E55" s="168">
        <f>E39-E47-E54</f>
        <v>0</v>
      </c>
      <c r="F55" s="84">
        <f>F39-F47-F54</f>
        <v>0</v>
      </c>
      <c r="G55" s="74">
        <f>G39-G47-G54</f>
        <v>0</v>
      </c>
      <c r="H55" s="98">
        <f>H39-H47-H54</f>
        <v>0</v>
      </c>
      <c r="I55" s="74">
        <f>I39-I47-I54</f>
        <v>0</v>
      </c>
      <c r="J55" s="501">
        <f t="shared" si="16"/>
        <v>0</v>
      </c>
      <c r="K55" s="517">
        <f t="shared" si="17"/>
        <v>0</v>
      </c>
      <c r="L55" s="407">
        <f t="shared" si="18"/>
        <v>0</v>
      </c>
      <c r="M55" s="460"/>
    </row>
    <row r="56" spans="1:13" ht="12.75" customHeight="1" x14ac:dyDescent="0.2">
      <c r="A56" s="248"/>
      <c r="B56" s="655" t="s">
        <v>227</v>
      </c>
      <c r="C56" s="653"/>
      <c r="D56" s="20"/>
      <c r="E56" s="161"/>
      <c r="F56" s="47"/>
      <c r="G56" s="44"/>
      <c r="H56" s="90"/>
      <c r="I56" s="44"/>
      <c r="J56" s="43"/>
      <c r="K56" s="43"/>
      <c r="L56" s="43"/>
      <c r="M56" s="412"/>
    </row>
    <row r="57" spans="1:13" ht="12.75" customHeight="1" x14ac:dyDescent="0.2">
      <c r="A57" s="249">
        <v>41</v>
      </c>
      <c r="B57" s="654" t="s">
        <v>55</v>
      </c>
      <c r="C57" s="645"/>
      <c r="D57" s="20"/>
      <c r="E57" s="457">
        <v>0</v>
      </c>
      <c r="F57" s="13">
        <f>(E57-H57)*IF(' 2. Checklist and Cert - 170'!$L$5=0,' 2. Checklist and Cert - 170'!$L$4,' 2. Checklist and Cert - 170'!$L$5)</f>
        <v>0</v>
      </c>
      <c r="G57" s="47">
        <f>E57-F57-H57</f>
        <v>0</v>
      </c>
      <c r="H57" s="453">
        <v>0</v>
      </c>
      <c r="I57" s="452">
        <v>0</v>
      </c>
      <c r="J57" s="504">
        <f t="shared" ref="J57:J61" si="19">SUM(I57/8)*12</f>
        <v>0</v>
      </c>
      <c r="K57" s="512">
        <f>E57-J57</f>
        <v>0</v>
      </c>
      <c r="L57" s="401">
        <f t="shared" ref="L57:L61" si="20">IFERROR(K57/J57,0)</f>
        <v>0</v>
      </c>
      <c r="M57" s="465"/>
    </row>
    <row r="58" spans="1:13" ht="12.75" customHeight="1" x14ac:dyDescent="0.2">
      <c r="A58" s="249">
        <v>42</v>
      </c>
      <c r="B58" s="12" t="s">
        <v>58</v>
      </c>
      <c r="C58" s="463"/>
      <c r="D58" s="20"/>
      <c r="E58" s="457">
        <v>0</v>
      </c>
      <c r="F58" s="13">
        <f>(E58-H58)*IF(' 2. Checklist and Cert - 170'!$L$5=0,' 2. Checklist and Cert - 170'!$L$4,' 2. Checklist and Cert - 170'!$L$5)</f>
        <v>0</v>
      </c>
      <c r="G58" s="47">
        <f>E58-F58-H58</f>
        <v>0</v>
      </c>
      <c r="H58" s="453">
        <v>0</v>
      </c>
      <c r="I58" s="452">
        <v>0</v>
      </c>
      <c r="J58" s="504">
        <f t="shared" si="19"/>
        <v>0</v>
      </c>
      <c r="K58" s="512">
        <f>E58-J58</f>
        <v>0</v>
      </c>
      <c r="L58" s="401">
        <f t="shared" si="20"/>
        <v>0</v>
      </c>
      <c r="M58" s="459"/>
    </row>
    <row r="59" spans="1:13" ht="12.75" customHeight="1" x14ac:dyDescent="0.2">
      <c r="A59" s="249">
        <v>43</v>
      </c>
      <c r="B59" s="12" t="s">
        <v>58</v>
      </c>
      <c r="C59" s="464"/>
      <c r="D59" s="20"/>
      <c r="E59" s="457">
        <v>0</v>
      </c>
      <c r="F59" s="13">
        <f>(E59-H59)*IF(' 2. Checklist and Cert - 170'!$L$5=0,' 2. Checklist and Cert - 170'!$L$4,' 2. Checklist and Cert - 170'!$L$5)</f>
        <v>0</v>
      </c>
      <c r="G59" s="47">
        <f>E59-F59-H59</f>
        <v>0</v>
      </c>
      <c r="H59" s="453">
        <v>0</v>
      </c>
      <c r="I59" s="452">
        <v>0</v>
      </c>
      <c r="J59" s="504">
        <f t="shared" si="19"/>
        <v>0</v>
      </c>
      <c r="K59" s="512">
        <f>E59-J59</f>
        <v>0</v>
      </c>
      <c r="L59" s="401">
        <f t="shared" si="20"/>
        <v>0</v>
      </c>
      <c r="M59" s="459"/>
    </row>
    <row r="60" spans="1:13" ht="12.75" customHeight="1" x14ac:dyDescent="0.2">
      <c r="A60" s="249">
        <v>44</v>
      </c>
      <c r="B60" s="12" t="s">
        <v>58</v>
      </c>
      <c r="C60" s="464"/>
      <c r="D60" s="20"/>
      <c r="E60" s="457">
        <v>0</v>
      </c>
      <c r="F60" s="13">
        <f>(E60-H60)*IF(' 2. Checklist and Cert - 170'!$L$5=0,' 2. Checklist and Cert - 170'!$L$4,' 2. Checklist and Cert - 170'!$L$5)</f>
        <v>0</v>
      </c>
      <c r="G60" s="47">
        <f>E60-F60-H60</f>
        <v>0</v>
      </c>
      <c r="H60" s="453">
        <v>0</v>
      </c>
      <c r="I60" s="452">
        <v>0</v>
      </c>
      <c r="J60" s="504">
        <f t="shared" si="19"/>
        <v>0</v>
      </c>
      <c r="K60" s="512">
        <f>E60-J60</f>
        <v>0</v>
      </c>
      <c r="L60" s="401">
        <f t="shared" si="20"/>
        <v>0</v>
      </c>
      <c r="M60" s="459"/>
    </row>
    <row r="61" spans="1:13" ht="12.75" customHeight="1" x14ac:dyDescent="0.2">
      <c r="A61" s="250">
        <v>45</v>
      </c>
      <c r="B61" s="668" t="s">
        <v>56</v>
      </c>
      <c r="C61" s="669"/>
      <c r="D61" s="214"/>
      <c r="E61" s="169">
        <f>SUM(E57:E60)</f>
        <v>0</v>
      </c>
      <c r="F61" s="31">
        <f>SUM(F57:F60)</f>
        <v>0</v>
      </c>
      <c r="G61" s="39">
        <f>SUM(G57:G60)</f>
        <v>0</v>
      </c>
      <c r="H61" s="87">
        <f>SUM(H57:H60)</f>
        <v>0</v>
      </c>
      <c r="I61" s="39">
        <f>SUM(I57:I60)</f>
        <v>0</v>
      </c>
      <c r="J61" s="110">
        <f t="shared" si="19"/>
        <v>0</v>
      </c>
      <c r="K61" s="513">
        <f>E61-J61</f>
        <v>0</v>
      </c>
      <c r="L61" s="402">
        <f t="shared" si="20"/>
        <v>0</v>
      </c>
      <c r="M61" s="460"/>
    </row>
    <row r="62" spans="1:13" ht="12.75" customHeight="1" x14ac:dyDescent="0.2">
      <c r="A62" s="249"/>
      <c r="B62" s="655" t="s">
        <v>253</v>
      </c>
      <c r="C62" s="653"/>
      <c r="D62" s="20"/>
      <c r="E62" s="161"/>
      <c r="F62" s="29"/>
      <c r="G62" s="44"/>
      <c r="H62" s="89"/>
      <c r="I62" s="44"/>
      <c r="J62" s="43"/>
      <c r="K62" s="43"/>
      <c r="L62" s="43"/>
      <c r="M62" s="412"/>
    </row>
    <row r="63" spans="1:13" ht="12.75" customHeight="1" x14ac:dyDescent="0.2">
      <c r="A63" s="249">
        <v>46</v>
      </c>
      <c r="B63" s="654" t="s">
        <v>107</v>
      </c>
      <c r="C63" s="645"/>
      <c r="D63" s="62" t="s">
        <v>32</v>
      </c>
      <c r="E63" s="457">
        <v>0</v>
      </c>
      <c r="F63" s="529">
        <f>(E63-H63)*IF(' 2. Checklist and Cert - 170'!$L$5=0,' 2. Checklist and Cert - 170'!$L$4,' 2. Checklist and Cert - 170'!$L$5)</f>
        <v>0</v>
      </c>
      <c r="G63" s="47">
        <f t="shared" ref="G63:G68" si="21">E63-F63-H63</f>
        <v>0</v>
      </c>
      <c r="H63" s="467">
        <v>0</v>
      </c>
      <c r="I63" s="452">
        <v>0</v>
      </c>
      <c r="J63" s="504">
        <f t="shared" ref="J63:J69" si="22">SUM(I63/8)*12</f>
        <v>0</v>
      </c>
      <c r="K63" s="512">
        <f t="shared" ref="K63:K69" si="23">E63-J63</f>
        <v>0</v>
      </c>
      <c r="L63" s="401">
        <f t="shared" ref="L63:L69" si="24">IFERROR(K63/J63,0)</f>
        <v>0</v>
      </c>
      <c r="M63" s="459"/>
    </row>
    <row r="64" spans="1:13" ht="12.75" customHeight="1" x14ac:dyDescent="0.2">
      <c r="A64" s="249">
        <v>47</v>
      </c>
      <c r="B64" s="654" t="s">
        <v>302</v>
      </c>
      <c r="C64" s="645"/>
      <c r="D64" s="20">
        <v>7190</v>
      </c>
      <c r="E64" s="457">
        <v>0</v>
      </c>
      <c r="F64" s="529">
        <f>(E64-H64)*IF(' 2. Checklist and Cert - 170'!$L$5=0,' 2. Checklist and Cert - 170'!$L$4,' 2. Checklist and Cert - 170'!$L$5)</f>
        <v>0</v>
      </c>
      <c r="G64" s="47">
        <f t="shared" si="21"/>
        <v>0</v>
      </c>
      <c r="H64" s="467">
        <v>0</v>
      </c>
      <c r="I64" s="452">
        <v>0</v>
      </c>
      <c r="J64" s="504">
        <f t="shared" si="22"/>
        <v>0</v>
      </c>
      <c r="K64" s="512">
        <f t="shared" si="23"/>
        <v>0</v>
      </c>
      <c r="L64" s="401">
        <f t="shared" si="24"/>
        <v>0</v>
      </c>
      <c r="M64" s="459"/>
    </row>
    <row r="65" spans="1:13" ht="12.75" customHeight="1" x14ac:dyDescent="0.2">
      <c r="A65" s="249">
        <v>48</v>
      </c>
      <c r="B65" s="654" t="s">
        <v>40</v>
      </c>
      <c r="C65" s="645"/>
      <c r="D65" s="20"/>
      <c r="E65" s="457">
        <v>0</v>
      </c>
      <c r="F65" s="529">
        <f>(E65-H65)*IF(' 2. Checklist and Cert - 170'!$L$5=0,' 2. Checklist and Cert - 170'!$L$4,' 2. Checklist and Cert - 170'!$L$5)</f>
        <v>0</v>
      </c>
      <c r="G65" s="47">
        <f t="shared" si="21"/>
        <v>0</v>
      </c>
      <c r="H65" s="467">
        <v>0</v>
      </c>
      <c r="I65" s="452">
        <v>0</v>
      </c>
      <c r="J65" s="504">
        <f t="shared" si="22"/>
        <v>0</v>
      </c>
      <c r="K65" s="512">
        <f t="shared" si="23"/>
        <v>0</v>
      </c>
      <c r="L65" s="401">
        <f t="shared" si="24"/>
        <v>0</v>
      </c>
      <c r="M65" s="459"/>
    </row>
    <row r="66" spans="1:13" ht="12.75" customHeight="1" x14ac:dyDescent="0.2">
      <c r="A66" s="249">
        <v>49</v>
      </c>
      <c r="B66" s="654" t="s">
        <v>41</v>
      </c>
      <c r="C66" s="645"/>
      <c r="D66" s="20"/>
      <c r="E66" s="457">
        <v>0</v>
      </c>
      <c r="F66" s="529">
        <f>(E66-H66)*IF(' 2. Checklist and Cert - 170'!$L$5=0,' 2. Checklist and Cert - 170'!$L$4,' 2. Checklist and Cert - 170'!$L$5)</f>
        <v>0</v>
      </c>
      <c r="G66" s="47">
        <f t="shared" si="21"/>
        <v>0</v>
      </c>
      <c r="H66" s="467">
        <v>0</v>
      </c>
      <c r="I66" s="452">
        <v>0</v>
      </c>
      <c r="J66" s="504">
        <f t="shared" si="22"/>
        <v>0</v>
      </c>
      <c r="K66" s="512">
        <f t="shared" si="23"/>
        <v>0</v>
      </c>
      <c r="L66" s="401">
        <f t="shared" si="24"/>
        <v>0</v>
      </c>
      <c r="M66" s="459"/>
    </row>
    <row r="67" spans="1:13" ht="12.75" customHeight="1" x14ac:dyDescent="0.2">
      <c r="A67" s="249">
        <v>50</v>
      </c>
      <c r="B67" s="654" t="s">
        <v>39</v>
      </c>
      <c r="C67" s="645"/>
      <c r="D67" s="62" t="s">
        <v>32</v>
      </c>
      <c r="E67" s="457">
        <v>0</v>
      </c>
      <c r="F67" s="529">
        <f>(E67-H67)*IF(' 2. Checklist and Cert - 170'!$L$5=0,' 2. Checklist and Cert - 170'!$L$4,' 2. Checklist and Cert - 170'!$L$5)</f>
        <v>0</v>
      </c>
      <c r="G67" s="47">
        <f t="shared" si="21"/>
        <v>0</v>
      </c>
      <c r="H67" s="467">
        <v>0</v>
      </c>
      <c r="I67" s="452">
        <v>0</v>
      </c>
      <c r="J67" s="504">
        <f t="shared" si="22"/>
        <v>0</v>
      </c>
      <c r="K67" s="512">
        <f t="shared" si="23"/>
        <v>0</v>
      </c>
      <c r="L67" s="401">
        <f t="shared" si="24"/>
        <v>0</v>
      </c>
      <c r="M67" s="459"/>
    </row>
    <row r="68" spans="1:13" ht="12.75" customHeight="1" x14ac:dyDescent="0.2">
      <c r="A68" s="249">
        <v>51</v>
      </c>
      <c r="B68" s="12" t="s">
        <v>58</v>
      </c>
      <c r="C68" s="463"/>
      <c r="D68" s="20"/>
      <c r="E68" s="457">
        <v>0</v>
      </c>
      <c r="F68" s="529">
        <f>(E68-H68)*IF(' 2. Checklist and Cert - 170'!$L$5=0,' 2. Checklist and Cert - 170'!$L$4,' 2. Checklist and Cert - 170'!$L$5)</f>
        <v>0</v>
      </c>
      <c r="G68" s="47">
        <f t="shared" si="21"/>
        <v>0</v>
      </c>
      <c r="H68" s="467">
        <v>0</v>
      </c>
      <c r="I68" s="452">
        <v>0</v>
      </c>
      <c r="J68" s="504">
        <f t="shared" si="22"/>
        <v>0</v>
      </c>
      <c r="K68" s="512">
        <f t="shared" si="23"/>
        <v>0</v>
      </c>
      <c r="L68" s="401">
        <f t="shared" si="24"/>
        <v>0</v>
      </c>
      <c r="M68" s="459"/>
    </row>
    <row r="69" spans="1:13" ht="12.75" customHeight="1" thickBot="1" x14ac:dyDescent="0.25">
      <c r="A69" s="255">
        <v>52</v>
      </c>
      <c r="B69" s="697" t="s">
        <v>57</v>
      </c>
      <c r="C69" s="698"/>
      <c r="D69" s="267"/>
      <c r="E69" s="254">
        <f>SUM(E63:E68)</f>
        <v>0</v>
      </c>
      <c r="F69" s="268">
        <f>SUM(F63:F68)</f>
        <v>0</v>
      </c>
      <c r="G69" s="252">
        <f>SUM(G63:G68)</f>
        <v>0</v>
      </c>
      <c r="H69" s="253">
        <f>SUM(H63:H68)</f>
        <v>0</v>
      </c>
      <c r="I69" s="252">
        <f>SUM(I63:I68)</f>
        <v>0</v>
      </c>
      <c r="J69" s="507">
        <f t="shared" si="22"/>
        <v>0</v>
      </c>
      <c r="K69" s="520">
        <f t="shared" si="23"/>
        <v>0</v>
      </c>
      <c r="L69" s="404">
        <f t="shared" si="24"/>
        <v>0</v>
      </c>
      <c r="M69" s="466"/>
    </row>
    <row r="70" spans="1:13" ht="14.25" thickTop="1" thickBot="1" x14ac:dyDescent="0.25"/>
    <row r="71" spans="1:13" customFormat="1" ht="18.75" customHeight="1" thickTop="1" x14ac:dyDescent="0.2">
      <c r="A71" s="693" t="s">
        <v>162</v>
      </c>
      <c r="B71" s="664" t="s">
        <v>176</v>
      </c>
      <c r="C71" s="695"/>
      <c r="D71" s="695"/>
      <c r="E71" s="695"/>
      <c r="F71" s="696"/>
      <c r="G71" s="664" t="s">
        <v>155</v>
      </c>
      <c r="H71" s="665"/>
      <c r="I71" s="380"/>
      <c r="J71" s="380"/>
      <c r="K71" s="380"/>
      <c r="L71" s="380"/>
      <c r="M71" s="380"/>
    </row>
    <row r="72" spans="1:13" customFormat="1" ht="18.75" customHeight="1" x14ac:dyDescent="0.2">
      <c r="A72" s="694"/>
      <c r="B72" s="661" t="s">
        <v>203</v>
      </c>
      <c r="C72" s="662"/>
      <c r="D72" s="662"/>
      <c r="E72" s="662"/>
      <c r="F72" s="662"/>
      <c r="G72" s="662"/>
      <c r="H72" s="663"/>
      <c r="I72" s="380"/>
      <c r="J72" s="380"/>
      <c r="K72" s="380"/>
      <c r="L72" s="380"/>
      <c r="M72" s="380"/>
    </row>
    <row r="73" spans="1:13" customFormat="1" ht="18.75" customHeight="1" x14ac:dyDescent="0.2">
      <c r="A73" s="258">
        <v>54</v>
      </c>
      <c r="B73" s="646"/>
      <c r="C73" s="647"/>
      <c r="D73" s="647"/>
      <c r="E73" s="647"/>
      <c r="F73" s="648"/>
      <c r="G73" s="640"/>
      <c r="H73" s="641"/>
      <c r="I73" s="381"/>
      <c r="J73" s="381"/>
      <c r="K73" s="381"/>
      <c r="L73" s="381"/>
      <c r="M73" s="381"/>
    </row>
    <row r="74" spans="1:13" customFormat="1" ht="18.75" customHeight="1" x14ac:dyDescent="0.2">
      <c r="A74" s="258">
        <v>55</v>
      </c>
      <c r="B74" s="646"/>
      <c r="C74" s="647"/>
      <c r="D74" s="647"/>
      <c r="E74" s="647"/>
      <c r="F74" s="648"/>
      <c r="G74" s="640"/>
      <c r="H74" s="641"/>
      <c r="I74" s="381"/>
      <c r="J74" s="381"/>
      <c r="K74" s="381"/>
      <c r="L74" s="381"/>
      <c r="M74" s="381"/>
    </row>
    <row r="75" spans="1:13" customFormat="1" ht="18.75" customHeight="1" x14ac:dyDescent="0.2">
      <c r="A75" s="258">
        <v>56</v>
      </c>
      <c r="B75" s="646"/>
      <c r="C75" s="647"/>
      <c r="D75" s="647"/>
      <c r="E75" s="647"/>
      <c r="F75" s="648"/>
      <c r="G75" s="640"/>
      <c r="H75" s="641"/>
      <c r="I75" s="381"/>
      <c r="J75" s="381"/>
      <c r="K75" s="381"/>
      <c r="L75" s="381"/>
      <c r="M75" s="381"/>
    </row>
    <row r="76" spans="1:13" customFormat="1" ht="18.75" customHeight="1" x14ac:dyDescent="0.2">
      <c r="A76" s="258">
        <v>57</v>
      </c>
      <c r="B76" s="646"/>
      <c r="C76" s="647"/>
      <c r="D76" s="647"/>
      <c r="E76" s="647"/>
      <c r="F76" s="648"/>
      <c r="G76" s="640"/>
      <c r="H76" s="641"/>
      <c r="I76" s="381"/>
      <c r="J76" s="381"/>
      <c r="K76" s="381"/>
      <c r="L76" s="381"/>
      <c r="M76" s="381"/>
    </row>
    <row r="77" spans="1:13" customFormat="1" ht="18.75" customHeight="1" thickBot="1" x14ac:dyDescent="0.25">
      <c r="A77" s="259">
        <v>58</v>
      </c>
      <c r="B77" s="658" t="s">
        <v>204</v>
      </c>
      <c r="C77" s="659"/>
      <c r="D77" s="659"/>
      <c r="E77" s="659"/>
      <c r="F77" s="660"/>
      <c r="G77" s="656">
        <f>SUM(G73:H76)</f>
        <v>0</v>
      </c>
      <c r="H77" s="657"/>
      <c r="I77" s="381"/>
      <c r="J77" s="381"/>
      <c r="K77" s="381"/>
      <c r="L77" s="381"/>
      <c r="M77" s="382"/>
    </row>
    <row r="78" spans="1:13" customFormat="1" ht="18.75" customHeight="1" x14ac:dyDescent="0.2">
      <c r="A78" s="258"/>
      <c r="B78" s="626"/>
      <c r="C78" s="627"/>
      <c r="D78" s="627"/>
      <c r="E78" s="627"/>
      <c r="F78" s="627"/>
      <c r="G78" s="627"/>
      <c r="H78" s="628"/>
      <c r="I78" s="381"/>
      <c r="J78" s="381"/>
      <c r="K78" s="381"/>
      <c r="L78" s="381"/>
      <c r="M78" s="383"/>
    </row>
    <row r="79" spans="1:13" customFormat="1" ht="18.75" customHeight="1" x14ac:dyDescent="0.2">
      <c r="A79" s="258"/>
      <c r="B79" s="661" t="s">
        <v>260</v>
      </c>
      <c r="C79" s="662"/>
      <c r="D79" s="662"/>
      <c r="E79" s="662"/>
      <c r="F79" s="662"/>
      <c r="G79" s="662"/>
      <c r="H79" s="663"/>
      <c r="I79" s="381"/>
      <c r="J79" s="381"/>
      <c r="K79" s="381"/>
      <c r="L79" s="381"/>
      <c r="M79" s="380"/>
    </row>
    <row r="80" spans="1:13" customFormat="1" ht="18.75" customHeight="1" x14ac:dyDescent="0.2">
      <c r="A80" s="258">
        <v>59</v>
      </c>
      <c r="B80" s="646"/>
      <c r="C80" s="647"/>
      <c r="D80" s="647"/>
      <c r="E80" s="647"/>
      <c r="F80" s="648"/>
      <c r="G80" s="640"/>
      <c r="H80" s="641"/>
      <c r="I80" s="381"/>
      <c r="J80" s="381"/>
      <c r="K80" s="381"/>
      <c r="L80" s="381"/>
      <c r="M80" s="381"/>
    </row>
    <row r="81" spans="1:13" customFormat="1" ht="18.75" customHeight="1" x14ac:dyDescent="0.2">
      <c r="A81" s="258">
        <v>60</v>
      </c>
      <c r="B81" s="646"/>
      <c r="C81" s="647"/>
      <c r="D81" s="647"/>
      <c r="E81" s="647"/>
      <c r="F81" s="648"/>
      <c r="G81" s="640"/>
      <c r="H81" s="641"/>
      <c r="I81" s="381"/>
      <c r="J81" s="381"/>
      <c r="K81" s="381"/>
      <c r="L81" s="381"/>
      <c r="M81" s="381"/>
    </row>
    <row r="82" spans="1:13" customFormat="1" ht="18.75" customHeight="1" x14ac:dyDescent="0.2">
      <c r="A82" s="258">
        <v>61</v>
      </c>
      <c r="B82" s="646"/>
      <c r="C82" s="647"/>
      <c r="D82" s="647"/>
      <c r="E82" s="647"/>
      <c r="F82" s="648"/>
      <c r="G82" s="640"/>
      <c r="H82" s="641"/>
      <c r="I82" s="381"/>
      <c r="J82" s="381"/>
      <c r="K82" s="381"/>
      <c r="L82" s="381"/>
      <c r="M82" s="381"/>
    </row>
    <row r="83" spans="1:13" customFormat="1" ht="18.75" customHeight="1" x14ac:dyDescent="0.2">
      <c r="A83" s="258">
        <v>62</v>
      </c>
      <c r="B83" s="646"/>
      <c r="C83" s="647"/>
      <c r="D83" s="647"/>
      <c r="E83" s="647"/>
      <c r="F83" s="648"/>
      <c r="G83" s="640"/>
      <c r="H83" s="641"/>
      <c r="I83" s="381"/>
      <c r="J83" s="381"/>
      <c r="K83" s="381"/>
      <c r="L83" s="381"/>
      <c r="M83" s="381"/>
    </row>
    <row r="84" spans="1:13" customFormat="1" ht="18.75" customHeight="1" thickBot="1" x14ac:dyDescent="0.25">
      <c r="A84" s="259">
        <v>63</v>
      </c>
      <c r="B84" s="658" t="s">
        <v>207</v>
      </c>
      <c r="C84" s="659"/>
      <c r="D84" s="659"/>
      <c r="E84" s="659"/>
      <c r="F84" s="660"/>
      <c r="G84" s="656">
        <f>SUM(G80:H83)</f>
        <v>0</v>
      </c>
      <c r="H84" s="657"/>
      <c r="I84" s="381"/>
      <c r="J84" s="381"/>
      <c r="K84" s="381"/>
      <c r="L84" s="381"/>
      <c r="M84" s="382"/>
    </row>
    <row r="85" spans="1:13" customFormat="1" ht="18.75" customHeight="1" x14ac:dyDescent="0.2">
      <c r="A85" s="258"/>
      <c r="B85" s="626"/>
      <c r="C85" s="627"/>
      <c r="D85" s="627"/>
      <c r="E85" s="627"/>
      <c r="F85" s="627"/>
      <c r="G85" s="627"/>
      <c r="H85" s="628"/>
      <c r="I85" s="381"/>
      <c r="J85" s="381"/>
      <c r="K85" s="381"/>
      <c r="L85" s="381"/>
      <c r="M85" s="383"/>
    </row>
    <row r="86" spans="1:13" customFormat="1" ht="18.75" customHeight="1" x14ac:dyDescent="0.2">
      <c r="A86" s="258"/>
      <c r="B86" s="661" t="s">
        <v>211</v>
      </c>
      <c r="C86" s="662"/>
      <c r="D86" s="662"/>
      <c r="E86" s="662"/>
      <c r="F86" s="662"/>
      <c r="G86" s="662"/>
      <c r="H86" s="663"/>
      <c r="I86" s="381"/>
      <c r="J86" s="381"/>
      <c r="K86" s="381"/>
      <c r="L86" s="381"/>
      <c r="M86" s="380"/>
    </row>
    <row r="87" spans="1:13" customFormat="1" ht="18.75" customHeight="1" x14ac:dyDescent="0.2">
      <c r="A87" s="258">
        <v>64</v>
      </c>
      <c r="B87" s="646"/>
      <c r="C87" s="647"/>
      <c r="D87" s="647"/>
      <c r="E87" s="647"/>
      <c r="F87" s="648"/>
      <c r="G87" s="640"/>
      <c r="H87" s="641"/>
      <c r="I87" s="381"/>
      <c r="J87" s="381"/>
      <c r="K87" s="381"/>
      <c r="L87" s="381"/>
      <c r="M87" s="381"/>
    </row>
    <row r="88" spans="1:13" customFormat="1" ht="18.75" customHeight="1" x14ac:dyDescent="0.2">
      <c r="A88" s="258">
        <v>65</v>
      </c>
      <c r="B88" s="646"/>
      <c r="C88" s="647"/>
      <c r="D88" s="647"/>
      <c r="E88" s="647"/>
      <c r="F88" s="648"/>
      <c r="G88" s="640"/>
      <c r="H88" s="641"/>
      <c r="I88" s="381"/>
      <c r="J88" s="381"/>
      <c r="K88" s="381"/>
      <c r="L88" s="381"/>
      <c r="M88" s="381"/>
    </row>
    <row r="89" spans="1:13" customFormat="1" ht="18.75" customHeight="1" x14ac:dyDescent="0.2">
      <c r="A89" s="258">
        <v>66</v>
      </c>
      <c r="B89" s="646"/>
      <c r="C89" s="647"/>
      <c r="D89" s="647"/>
      <c r="E89" s="647"/>
      <c r="F89" s="648"/>
      <c r="G89" s="640"/>
      <c r="H89" s="641"/>
      <c r="I89" s="381"/>
      <c r="J89" s="381"/>
      <c r="K89" s="381"/>
      <c r="L89" s="381"/>
      <c r="M89" s="381"/>
    </row>
    <row r="90" spans="1:13" customFormat="1" ht="18.75" customHeight="1" x14ac:dyDescent="0.2">
      <c r="A90" s="258">
        <v>67</v>
      </c>
      <c r="B90" s="646"/>
      <c r="C90" s="647"/>
      <c r="D90" s="647"/>
      <c r="E90" s="647"/>
      <c r="F90" s="648"/>
      <c r="G90" s="640"/>
      <c r="H90" s="641"/>
      <c r="I90" s="381"/>
      <c r="J90" s="381"/>
      <c r="K90" s="381"/>
      <c r="L90" s="381"/>
      <c r="M90" s="381"/>
    </row>
    <row r="91" spans="1:13" customFormat="1" ht="18.75" customHeight="1" thickBot="1" x14ac:dyDescent="0.25">
      <c r="A91" s="259">
        <v>68</v>
      </c>
      <c r="B91" s="658" t="s">
        <v>212</v>
      </c>
      <c r="C91" s="659"/>
      <c r="D91" s="659"/>
      <c r="E91" s="659"/>
      <c r="F91" s="660"/>
      <c r="G91" s="656">
        <f>SUM(G87:H90)</f>
        <v>0</v>
      </c>
      <c r="H91" s="657"/>
      <c r="I91" s="381"/>
      <c r="J91" s="381"/>
      <c r="K91" s="381"/>
      <c r="L91" s="381"/>
      <c r="M91" s="382"/>
    </row>
    <row r="92" spans="1:13" customFormat="1" ht="18.75" customHeight="1" x14ac:dyDescent="0.2">
      <c r="A92" s="258"/>
      <c r="B92" s="626"/>
      <c r="C92" s="627"/>
      <c r="D92" s="627"/>
      <c r="E92" s="627"/>
      <c r="F92" s="627"/>
      <c r="G92" s="627"/>
      <c r="H92" s="628"/>
      <c r="I92" s="381"/>
      <c r="J92" s="381"/>
      <c r="K92" s="381"/>
      <c r="L92" s="381"/>
      <c r="M92" s="383"/>
    </row>
    <row r="93" spans="1:13" customFormat="1" ht="18.75" customHeight="1" x14ac:dyDescent="0.2">
      <c r="A93" s="258"/>
      <c r="B93" s="661" t="s">
        <v>263</v>
      </c>
      <c r="C93" s="662"/>
      <c r="D93" s="662"/>
      <c r="E93" s="662"/>
      <c r="F93" s="662"/>
      <c r="G93" s="662"/>
      <c r="H93" s="663"/>
      <c r="I93" s="381"/>
      <c r="J93" s="381"/>
      <c r="K93" s="381"/>
      <c r="L93" s="381"/>
      <c r="M93" s="380"/>
    </row>
    <row r="94" spans="1:13" customFormat="1" ht="18.75" customHeight="1" x14ac:dyDescent="0.2">
      <c r="A94" s="258">
        <v>69</v>
      </c>
      <c r="B94" s="646"/>
      <c r="C94" s="647"/>
      <c r="D94" s="647"/>
      <c r="E94" s="647"/>
      <c r="F94" s="648"/>
      <c r="G94" s="640"/>
      <c r="H94" s="641"/>
      <c r="I94" s="381"/>
      <c r="J94" s="381"/>
      <c r="K94" s="381"/>
      <c r="L94" s="381"/>
      <c r="M94" s="381"/>
    </row>
    <row r="95" spans="1:13" customFormat="1" ht="18.75" customHeight="1" x14ac:dyDescent="0.2">
      <c r="A95" s="258">
        <v>70</v>
      </c>
      <c r="B95" s="646"/>
      <c r="C95" s="647"/>
      <c r="D95" s="647"/>
      <c r="E95" s="647"/>
      <c r="F95" s="648"/>
      <c r="G95" s="640"/>
      <c r="H95" s="641"/>
      <c r="I95" s="381"/>
      <c r="J95" s="381"/>
      <c r="K95" s="381"/>
      <c r="L95" s="381"/>
      <c r="M95" s="381"/>
    </row>
    <row r="96" spans="1:13" customFormat="1" ht="18.75" customHeight="1" x14ac:dyDescent="0.2">
      <c r="A96" s="258">
        <v>71</v>
      </c>
      <c r="B96" s="646"/>
      <c r="C96" s="647"/>
      <c r="D96" s="647"/>
      <c r="E96" s="647"/>
      <c r="F96" s="648"/>
      <c r="G96" s="640"/>
      <c r="H96" s="641"/>
      <c r="I96" s="381"/>
      <c r="J96" s="381"/>
      <c r="K96" s="381"/>
      <c r="L96" s="381"/>
      <c r="M96" s="381"/>
    </row>
    <row r="97" spans="1:13" customFormat="1" ht="18.75" customHeight="1" x14ac:dyDescent="0.2">
      <c r="A97" s="258">
        <v>72</v>
      </c>
      <c r="B97" s="646"/>
      <c r="C97" s="647"/>
      <c r="D97" s="647"/>
      <c r="E97" s="647"/>
      <c r="F97" s="648"/>
      <c r="G97" s="640"/>
      <c r="H97" s="641"/>
      <c r="I97" s="381"/>
      <c r="J97" s="381"/>
      <c r="K97" s="381"/>
      <c r="L97" s="381"/>
      <c r="M97" s="381"/>
    </row>
    <row r="98" spans="1:13" customFormat="1" ht="18.75" customHeight="1" x14ac:dyDescent="0.2">
      <c r="A98" s="258">
        <v>73</v>
      </c>
      <c r="B98" s="646"/>
      <c r="C98" s="647"/>
      <c r="D98" s="647"/>
      <c r="E98" s="647"/>
      <c r="F98" s="648"/>
      <c r="G98" s="640"/>
      <c r="H98" s="641"/>
      <c r="I98" s="381"/>
      <c r="J98" s="381"/>
      <c r="K98" s="381"/>
      <c r="L98" s="381"/>
      <c r="M98" s="381"/>
    </row>
    <row r="99" spans="1:13" customFormat="1" ht="18.75" customHeight="1" x14ac:dyDescent="0.2">
      <c r="A99" s="258">
        <v>74</v>
      </c>
      <c r="B99" s="646"/>
      <c r="C99" s="647"/>
      <c r="D99" s="647"/>
      <c r="E99" s="647"/>
      <c r="F99" s="648"/>
      <c r="G99" s="640"/>
      <c r="H99" s="641"/>
      <c r="I99" s="381"/>
      <c r="J99" s="381"/>
      <c r="K99" s="381"/>
      <c r="L99" s="381"/>
      <c r="M99" s="381"/>
    </row>
    <row r="100" spans="1:13" customFormat="1" ht="18.75" customHeight="1" thickBot="1" x14ac:dyDescent="0.25">
      <c r="A100" s="259">
        <v>75</v>
      </c>
      <c r="B100" s="658" t="s">
        <v>264</v>
      </c>
      <c r="C100" s="659"/>
      <c r="D100" s="659"/>
      <c r="E100" s="659"/>
      <c r="F100" s="660"/>
      <c r="G100" s="656">
        <f>SUM(G94:H99)</f>
        <v>0</v>
      </c>
      <c r="H100" s="657"/>
      <c r="I100" s="381"/>
      <c r="J100" s="381"/>
      <c r="K100" s="381"/>
      <c r="L100" s="381"/>
      <c r="M100" s="382"/>
    </row>
    <row r="101" spans="1:13" customFormat="1" ht="18.75" customHeight="1" x14ac:dyDescent="0.2">
      <c r="A101" s="258"/>
      <c r="B101" s="626"/>
      <c r="C101" s="627"/>
      <c r="D101" s="627"/>
      <c r="E101" s="627"/>
      <c r="F101" s="627"/>
      <c r="G101" s="627"/>
      <c r="H101" s="628"/>
      <c r="I101" s="381"/>
      <c r="J101" s="381"/>
      <c r="K101" s="381"/>
      <c r="L101" s="381"/>
      <c r="M101" s="383"/>
    </row>
    <row r="102" spans="1:13" customFormat="1" ht="18.75" customHeight="1" x14ac:dyDescent="0.2">
      <c r="A102" s="258"/>
      <c r="B102" s="661" t="s">
        <v>158</v>
      </c>
      <c r="C102" s="662"/>
      <c r="D102" s="662"/>
      <c r="E102" s="662"/>
      <c r="F102" s="662"/>
      <c r="G102" s="662"/>
      <c r="H102" s="663"/>
      <c r="I102" s="381"/>
      <c r="J102" s="381"/>
      <c r="K102" s="381"/>
      <c r="L102" s="381"/>
      <c r="M102" s="380"/>
    </row>
    <row r="103" spans="1:13" customFormat="1" ht="18.75" customHeight="1" x14ac:dyDescent="0.2">
      <c r="A103" s="258">
        <v>76</v>
      </c>
      <c r="B103" s="646"/>
      <c r="C103" s="647"/>
      <c r="D103" s="647"/>
      <c r="E103" s="647"/>
      <c r="F103" s="648"/>
      <c r="G103" s="640">
        <v>0</v>
      </c>
      <c r="H103" s="641"/>
      <c r="I103" s="381"/>
      <c r="J103" s="381"/>
      <c r="K103" s="381"/>
      <c r="L103" s="381"/>
      <c r="M103" s="381"/>
    </row>
    <row r="104" spans="1:13" customFormat="1" ht="18.75" customHeight="1" x14ac:dyDescent="0.2">
      <c r="A104" s="258">
        <v>77</v>
      </c>
      <c r="B104" s="646"/>
      <c r="C104" s="647"/>
      <c r="D104" s="647"/>
      <c r="E104" s="647"/>
      <c r="F104" s="648"/>
      <c r="G104" s="640"/>
      <c r="H104" s="641"/>
      <c r="I104" s="381"/>
      <c r="J104" s="381"/>
      <c r="K104" s="381"/>
      <c r="L104" s="381"/>
      <c r="M104" s="381"/>
    </row>
    <row r="105" spans="1:13" customFormat="1" ht="18.75" customHeight="1" x14ac:dyDescent="0.2">
      <c r="A105" s="258">
        <v>78</v>
      </c>
      <c r="B105" s="646"/>
      <c r="C105" s="647"/>
      <c r="D105" s="647"/>
      <c r="E105" s="647"/>
      <c r="F105" s="648"/>
      <c r="G105" s="640"/>
      <c r="H105" s="641"/>
      <c r="I105" s="381"/>
      <c r="J105" s="381"/>
      <c r="K105" s="381"/>
      <c r="L105" s="381"/>
      <c r="M105" s="381"/>
    </row>
    <row r="106" spans="1:13" customFormat="1" ht="18.75" customHeight="1" x14ac:dyDescent="0.2">
      <c r="A106" s="258">
        <v>79</v>
      </c>
      <c r="B106" s="646"/>
      <c r="C106" s="647"/>
      <c r="D106" s="647"/>
      <c r="E106" s="647"/>
      <c r="F106" s="648"/>
      <c r="G106" s="640"/>
      <c r="H106" s="641"/>
      <c r="I106" s="381"/>
      <c r="J106" s="381"/>
      <c r="K106" s="381"/>
      <c r="L106" s="381"/>
      <c r="M106" s="381"/>
    </row>
    <row r="107" spans="1:13" customFormat="1" ht="18.75" customHeight="1" thickBot="1" x14ac:dyDescent="0.25">
      <c r="A107" s="261">
        <v>80</v>
      </c>
      <c r="B107" s="674" t="s">
        <v>161</v>
      </c>
      <c r="C107" s="675"/>
      <c r="D107" s="675"/>
      <c r="E107" s="675"/>
      <c r="F107" s="676"/>
      <c r="G107" s="677">
        <f>SUM(G103:H106)</f>
        <v>0</v>
      </c>
      <c r="H107" s="678"/>
      <c r="I107" s="381"/>
      <c r="J107" s="381"/>
      <c r="K107" s="381"/>
      <c r="L107" s="381"/>
      <c r="M107" s="382"/>
    </row>
    <row r="108" spans="1:13" customFormat="1" ht="18.75" customHeight="1" thickTop="1" x14ac:dyDescent="0.2">
      <c r="A108" s="258"/>
      <c r="B108" s="624"/>
      <c r="C108" s="625"/>
      <c r="D108" s="625"/>
      <c r="E108" s="625"/>
      <c r="F108" s="625"/>
      <c r="G108" s="625"/>
      <c r="H108" s="625"/>
      <c r="I108" s="625"/>
      <c r="J108" s="625"/>
      <c r="K108" s="625"/>
      <c r="L108" s="22"/>
      <c r="M108" s="22"/>
    </row>
  </sheetData>
  <sheetProtection algorithmName="SHA-512" hashValue="9/noAURZsb9ip1Tsb7ehpjO79UvhzcCWn7CeZrIhjvmK2CUwb8XbBLF9XV9H49lj+7sUrIp3lqf+4xfZ1Iz4gQ==" saltValue="F05xh1MuZQe2uGqcEbbDqA==" spinCount="100000" sheet="1" objects="1" scenarios="1"/>
  <mergeCells count="148">
    <mergeCell ref="K2:L2"/>
    <mergeCell ref="K3:L3"/>
    <mergeCell ref="K4:L4"/>
    <mergeCell ref="K5:L5"/>
    <mergeCell ref="K6:L6"/>
    <mergeCell ref="A71:A72"/>
    <mergeCell ref="B71:F71"/>
    <mergeCell ref="B67:C67"/>
    <mergeCell ref="B54:C54"/>
    <mergeCell ref="B61:C61"/>
    <mergeCell ref="B69:C69"/>
    <mergeCell ref="B57:C57"/>
    <mergeCell ref="B63:C63"/>
    <mergeCell ref="B51:C51"/>
    <mergeCell ref="B22:C22"/>
    <mergeCell ref="B23:C23"/>
    <mergeCell ref="B25:C25"/>
    <mergeCell ref="B26:C26"/>
    <mergeCell ref="B8:C9"/>
    <mergeCell ref="B65:C65"/>
    <mergeCell ref="B66:C66"/>
    <mergeCell ref="F8:F9"/>
    <mergeCell ref="I8:I9"/>
    <mergeCell ref="K8:K9"/>
    <mergeCell ref="M8:M9"/>
    <mergeCell ref="E3:F3"/>
    <mergeCell ref="E4:F4"/>
    <mergeCell ref="E5:F5"/>
    <mergeCell ref="E6:F6"/>
    <mergeCell ref="B37:C37"/>
    <mergeCell ref="B38:C38"/>
    <mergeCell ref="J8:J9"/>
    <mergeCell ref="G3:H3"/>
    <mergeCell ref="G4:H4"/>
    <mergeCell ref="G5:H5"/>
    <mergeCell ref="G6:H6"/>
    <mergeCell ref="B15:C15"/>
    <mergeCell ref="B21:C21"/>
    <mergeCell ref="H8:H9"/>
    <mergeCell ref="G8:G9"/>
    <mergeCell ref="B10:C10"/>
    <mergeCell ref="B11:C11"/>
    <mergeCell ref="B12:C12"/>
    <mergeCell ref="B107:F107"/>
    <mergeCell ref="B87:F87"/>
    <mergeCell ref="B104:F104"/>
    <mergeCell ref="B105:F105"/>
    <mergeCell ref="B106:F106"/>
    <mergeCell ref="G107:H107"/>
    <mergeCell ref="G105:H105"/>
    <mergeCell ref="G106:H106"/>
    <mergeCell ref="G103:H103"/>
    <mergeCell ref="G98:H98"/>
    <mergeCell ref="G87:H87"/>
    <mergeCell ref="G95:H95"/>
    <mergeCell ref="B103:F103"/>
    <mergeCell ref="B89:F89"/>
    <mergeCell ref="B90:F90"/>
    <mergeCell ref="B94:F94"/>
    <mergeCell ref="B95:F95"/>
    <mergeCell ref="B93:H93"/>
    <mergeCell ref="G90:H90"/>
    <mergeCell ref="G89:H89"/>
    <mergeCell ref="B91:F91"/>
    <mergeCell ref="B100:F100"/>
    <mergeCell ref="G104:H104"/>
    <mergeCell ref="B102:H102"/>
    <mergeCell ref="B64:C64"/>
    <mergeCell ref="B49:C49"/>
    <mergeCell ref="B44:C44"/>
    <mergeCell ref="B45:C45"/>
    <mergeCell ref="B48:C48"/>
    <mergeCell ref="B39:C39"/>
    <mergeCell ref="B16:C16"/>
    <mergeCell ref="B14:C14"/>
    <mergeCell ref="B17:C17"/>
    <mergeCell ref="B18:C18"/>
    <mergeCell ref="B20:C20"/>
    <mergeCell ref="B19:C19"/>
    <mergeCell ref="B31:C31"/>
    <mergeCell ref="B55:C55"/>
    <mergeCell ref="B50:C50"/>
    <mergeCell ref="B34:C34"/>
    <mergeCell ref="B35:C35"/>
    <mergeCell ref="B56:C56"/>
    <mergeCell ref="B62:C62"/>
    <mergeCell ref="B47:C47"/>
    <mergeCell ref="B36:C36"/>
    <mergeCell ref="B40:C40"/>
    <mergeCell ref="B72:H72"/>
    <mergeCell ref="G71:H71"/>
    <mergeCell ref="B81:F81"/>
    <mergeCell ref="G91:H91"/>
    <mergeCell ref="G88:H88"/>
    <mergeCell ref="G96:H96"/>
    <mergeCell ref="G76:H76"/>
    <mergeCell ref="G75:H75"/>
    <mergeCell ref="B86:H86"/>
    <mergeCell ref="G81:H81"/>
    <mergeCell ref="B77:F77"/>
    <mergeCell ref="B74:F74"/>
    <mergeCell ref="B75:F75"/>
    <mergeCell ref="B76:F76"/>
    <mergeCell ref="G83:H83"/>
    <mergeCell ref="B88:F88"/>
    <mergeCell ref="B96:F96"/>
    <mergeCell ref="G74:H74"/>
    <mergeCell ref="G77:H77"/>
    <mergeCell ref="G84:H84"/>
    <mergeCell ref="G80:H80"/>
    <mergeCell ref="G100:H100"/>
    <mergeCell ref="G94:H94"/>
    <mergeCell ref="B98:F98"/>
    <mergeCell ref="G97:H97"/>
    <mergeCell ref="B84:F84"/>
    <mergeCell ref="B78:H78"/>
    <mergeCell ref="G82:H82"/>
    <mergeCell ref="B83:F83"/>
    <mergeCell ref="B79:H79"/>
    <mergeCell ref="B82:F82"/>
    <mergeCell ref="B80:F80"/>
    <mergeCell ref="B99:F99"/>
    <mergeCell ref="B97:F97"/>
    <mergeCell ref="G99:H99"/>
    <mergeCell ref="B108:K108"/>
    <mergeCell ref="B85:H85"/>
    <mergeCell ref="B92:H92"/>
    <mergeCell ref="B101:H101"/>
    <mergeCell ref="B7:C7"/>
    <mergeCell ref="A8:A9"/>
    <mergeCell ref="D8:D9"/>
    <mergeCell ref="L8:L9"/>
    <mergeCell ref="A1:M1"/>
    <mergeCell ref="G73:H73"/>
    <mergeCell ref="E8:E9"/>
    <mergeCell ref="B13:C13"/>
    <mergeCell ref="B73:F73"/>
    <mergeCell ref="A4:B4"/>
    <mergeCell ref="A5:B5"/>
    <mergeCell ref="A6:B6"/>
    <mergeCell ref="B30:C30"/>
    <mergeCell ref="B29:C29"/>
    <mergeCell ref="B24:C24"/>
    <mergeCell ref="B27:C27"/>
    <mergeCell ref="B28:C28"/>
    <mergeCell ref="B46:C46"/>
    <mergeCell ref="B32:C32"/>
    <mergeCell ref="B33:C33"/>
  </mergeCells>
  <phoneticPr fontId="0" type="noConversion"/>
  <conditionalFormatting sqref="L11:L69">
    <cfRule type="expression" dxfId="5" priority="10" stopIfTrue="1">
      <formula>OR(L11&gt;0.1,L11&lt;-0.1)</formula>
    </cfRule>
  </conditionalFormatting>
  <dataValidations xWindow="1534" yWindow="545" count="30">
    <dataValidation allowBlank="1" showInputMessage="1" showErrorMessage="1" promptTitle="Acct. 5190 Misc Rent Revenue" prompt="Itemized revenue detail must be entered beginning at Line #54 below.  The amount for this account is auto-populated from below." sqref="E16" xr:uid="{00000000-0002-0000-0300-000000000000}"/>
    <dataValidation allowBlank="1" showInputMessage="1" showErrorMessage="1" promptTitle="Acct. 5390 Supportive Serv Rev" prompt="Itemized revenue detail must be entered beginning at Line #59 below.  The amount for this account is auto-populated from below." sqref="E27" xr:uid="{00000000-0002-0000-0300-000001000000}"/>
    <dataValidation allowBlank="1" showInputMessage="1" showErrorMessage="1" promptTitle="Acct. 5490 Rev from Invest. Misc" prompt="Itemized revenue detail must be entered beginning at Line #64 below.  The amount for this account is auto-populated from below." sqref="E30" xr:uid="{00000000-0002-0000-0300-000002000000}"/>
    <dataValidation allowBlank="1" showInputMessage="1" showErrorMessage="1" promptTitle="Acct. 6890 Misc. Financial Exp" prompt="Itemized expense detail must be entered beginning at Line #76 below.  The amount for this account is auto-populated from below." sqref="E46" xr:uid="{00000000-0002-0000-0300-000003000000}"/>
    <dataValidation allowBlank="1" showInputMessage="1" showErrorMessage="1" promptTitle="Acct. 5990 Misc. Revenue" prompt="Itemized revenue detail must be entered beginning at Line #69 below.  The amount for this account is auto-populated from below." sqref="E35" xr:uid="{00000000-0002-0000-0300-000004000000}"/>
    <dataValidation allowBlank="1" showInputMessage="1" showErrorMessage="1" promptTitle="Acct. 5190 Misc Rent Revenue" prompt="Provide expense description here; enter itemized amount at right. Expense descriptions should be intelligible, do not describe using &quot;Miscellaneous&quot; or &quot;Other&quot;._x000a_Total for this account will flow to Line #6 above." sqref="B73:F76" xr:uid="{00000000-0002-0000-0300-000005000000}"/>
    <dataValidation allowBlank="1" showInputMessage="1" showErrorMessage="1" promptTitle="Acct. 5190 Misc. Rent Revenue" prompt="Provide itemized amount here and description at left._x000a_Total for this account will flow to Line #6 above." sqref="G73:H76" xr:uid="{00000000-0002-0000-0300-000006000000}"/>
    <dataValidation allowBlank="1" showInputMessage="1" showErrorMessage="1" promptTitle="Acct. 5490 Rev from Inv Misc" prompt="Provide expense description here; enter itemized amount at right. Expense descriptions should be intelligible, do not describe using &quot;Miscellaneous&quot; or &quot;Other&quot;._x000a_Total for this account will flow to Line #18 above." sqref="B87:F90" xr:uid="{00000000-0002-0000-0300-000007000000}"/>
    <dataValidation allowBlank="1" showInputMessage="1" showErrorMessage="1" promptTitle="Acct. 5490 Rev from Inv Misc" prompt="Provide itemized amount here and description at left._x000a_Total for this account will flow to Line #18 above." sqref="G87:H90" xr:uid="{00000000-0002-0000-0300-000008000000}"/>
    <dataValidation allowBlank="1" showInputMessage="1" showErrorMessage="1" promptTitle="Acct. 5990 Misc. Revenue" prompt="Provide expense description here; enter itemized amount at right. Expense descriptions should be intelligible, do not describe using &quot;Miscellaneous&quot; or &quot;Other&quot;._x000a_Total for this account will flow to Line #22 above." sqref="B94:F99" xr:uid="{00000000-0002-0000-0300-000009000000}"/>
    <dataValidation allowBlank="1" showInputMessage="1" showErrorMessage="1" promptTitle="Acct. 5990 Misc. Revenue" prompt="Provide itemized amount here and description at left._x000a_Total for this account will flow to Line #22 above." sqref="G94:H99" xr:uid="{00000000-0002-0000-0300-00000A000000}"/>
    <dataValidation allowBlank="1" showInputMessage="1" showErrorMessage="1" promptTitle="Acct. 6890 Misc. Financial Exp" prompt="Provide expense description here; enter itemized amount at right. Expense descriptions should be intelligible, do not describe using &quot;Miscellaneous&quot; or &quot;Other&quot;._x000a_Total for this account will flow to Line #32 above." sqref="B103:F106" xr:uid="{00000000-0002-0000-0300-00000B000000}"/>
    <dataValidation allowBlank="1" showInputMessage="1" showErrorMessage="1" promptTitle="Acct. 6890 Misc. Financial Exp" prompt="Provide itemized amount here and description at left._x000a_Total for this account will flow to Line #32 above." sqref="G103:H106" xr:uid="{00000000-0002-0000-0300-00000C000000}"/>
    <dataValidation allowBlank="1" showInputMessage="1" showErrorMessage="1" promptTitle="Acct. 5390 Supportive Serv Rev" prompt="Provide expense description here; enter itemized amount at right. Expense descriptions should be intelligible, do not describe using &quot;Miscellaneous&quot; or &quot;Other&quot;._x000a_Total for this account will flow to Line #16 above." sqref="B80:F83" xr:uid="{00000000-0002-0000-0300-00000D000000}"/>
    <dataValidation allowBlank="1" showInputMessage="1" showErrorMessage="1" promptTitle="Acct. 5390 Supportive Serv Rev" prompt="Provide itemized amount here and description at left._x000a_Total for this account will flow to Line #16 above." sqref="G80:H83" xr:uid="{00000000-0002-0000-0300-00000E000000}"/>
    <dataValidation allowBlank="1" showInputMessage="1" showErrorMessage="1" promptTitle="Required field. " prompt="Enter the appropriate dollar amount correspondng to the Account Code noted in the column to the left. To access additional instructions regarding the Account Code, tab one additional field to the left, to hear the account name and pop-up instructions. " sqref="F22:F24 F14:F15 F11" xr:uid="{11478D05-1E86-4FE8-BBE1-2166DF4EFF75}"/>
    <dataValidation allowBlank="1" showInputMessage="1" showErrorMessage="1" promptTitle="Required field. " prompt="Enter the appropriate dollar amount correspondng to the Account Code noted in the field 2 colums to the left. To access additional instructions regarding the Account Code, tab 1 additional field to the left, for the account name and pop-up instructions. " sqref="G11:G12 G14:G15 G22:G24" xr:uid="{0AA1E451-F0BA-43A9-9465-23ADB68AC17C}"/>
    <dataValidation allowBlank="1" showInputMessage="1" showErrorMessage="1" promptTitle="Required field." prompt="Enter the appropriate dollar amount correspondng to the Account Code noted in the field 3 colums to the left. To access additional instructions regarding the Account Code, tab 1 additional field to the left, for the account name and pop-up instructions. " sqref="H13:H16 H63:H68 H22:H24 H27 H29:H30 H33:H35 H41:H46 H49:H53 H57:H60" xr:uid="{D705D79F-9515-4BF8-8F3E-E45BA0BA3195}"/>
    <dataValidation allowBlank="1" showInputMessage="1" showErrorMessage="1" promptTitle="Required field." prompt="Enter the appropriate dollar amount correspondng to the Account Code noted in the field 4 colums to the left. To access additional instructions regarding the Account Code, tab 1 additional field to the left, for the account name and pop-up instructions. " sqref="E29 E33:E34 E41:E45 E49:E53 E57:E60 E63:E68" xr:uid="{F5F93A84-3C41-4423-B728-8CEC93F4BED7}"/>
    <dataValidation errorStyle="warning" allowBlank="1" showInputMessage="1" showErrorMessage="1" promptTitle="Required field. " prompt="Enter the appropriate dollar amount correspondng to the Account Code noted in the column to the left. To access additional instructions regarding the Account Code, tab one additional field to the left, to hear the account name and pop-up instructions. " sqref="F12" xr:uid="{A63255AB-6661-4B2E-A218-FFE3541D2027}"/>
    <dataValidation type="textLength" operator="lessThan" showInputMessage="1" showErrorMessage="1" errorTitle="Read-Only Cell." error="This is not a form field. Please press Tab to continue." sqref="B2 A1" xr:uid="{CF4C175B-F188-4F45-8035-E7A9F411BFD1}">
      <formula1>0</formula1>
    </dataValidation>
    <dataValidation type="textLength" operator="lessThan" showInputMessage="1" showErrorMessage="1" errorTitle="Read-Only Cell." error="This is not a form field. Please press Tab to continue." promptTitle="Comments or Variance Explanation" prompt="Enter the first 8 months of the current year actual amount into the column F fields below that are noted as Required. " sqref="M8:M9" xr:uid="{130B8353-C1DD-40C4-89AC-2BA8E51D06D0}">
      <formula1>0</formula1>
    </dataValidation>
    <dataValidation type="textLength" operator="lessThan" showInputMessage="1" showErrorMessage="1" errorTitle="Read-Only field." error="This is not a form field. Please press Tab to continue. " promptTitle="Restricted/Assisted Proposed" prompt="Enter the appropriate amount into the column A fields below that are noted as Required." sqref="F8:F9" xr:uid="{14EF42D1-8139-499E-9003-EEF1882EF509}">
      <formula1>0</formula1>
    </dataValidation>
    <dataValidation type="textLength" operator="lessThan" showInputMessage="1" showErrorMessage="1" errorTitle="Read-Only field." error="This is not a form field. Please press Tab to continue. " promptTitle="Non-Restricted/Assisted Proposed" prompt="Enter the appropriate amount into the column B fields below that are noted as Required." sqref="G8:G9" xr:uid="{DF2EE1D3-AC5B-4002-A898-2C9E1E817B93}">
      <formula1>0</formula1>
    </dataValidation>
    <dataValidation type="textLength" operator="lessThan" showInputMessage="1" showErrorMessage="1" errorTitle="Read-Only Cell." error="This is not a form field. Please press Tab to continue." promptTitle="Column E, 8 Months of Actuals" prompt="Enter the first 8 months of the current year actual amount into the column E fields below that are noted as Required. " sqref="I7:I9" xr:uid="{B13C7B9C-8AA2-4B5E-8983-8E31E7721D28}">
      <formula1>0</formula1>
    </dataValidation>
    <dataValidation errorStyle="information" allowBlank="1" showInputMessage="1" showErrorMessage="1" sqref="K8:L9" xr:uid="{E9A5884E-48CB-47A8-B744-6E473C499766}"/>
    <dataValidation type="textLength" errorStyle="warning" operator="lessThan" showInputMessage="1" showErrorMessage="1" errorTitle="Read-Only Cell." error="This is not a form field. Please press Tab to continue." promptTitle="Comments or Variance Explanation" prompt="Enter the first 8 months of the current year actual amount into the column F fields below that are noted as Required. " sqref="M7" xr:uid="{1375CD5A-36CB-411C-B2C8-B1299C4EAADD}">
      <formula1>0</formula1>
    </dataValidation>
    <dataValidation allowBlank="1" showInputMessage="1" promptTitle="Required field." prompt="Enter the 8 month actual amount correspondng to the Account Code noted in the field 6 colums to the left. To access additional instructions regarding the Account Code, tab 1 additional field to the left for the Account Name and pop-up instructions. " sqref="I11:I16" xr:uid="{A51D1AE2-9109-48DE-9457-C5C2F0CC5F5F}"/>
    <dataValidation errorStyle="warning" allowBlank="1" showInputMessage="1" showErrorMessage="1" sqref="F7:H7" xr:uid="{757DD513-C22D-47ED-A7E7-79FBBA5F058C}"/>
    <dataValidation type="decimal" showInputMessage="1" sqref="F19:H19" xr:uid="{A2090460-0E4F-45F2-AEDD-2BE771F668D5}">
      <formula1>0.0001</formula1>
      <formula2>100</formula2>
    </dataValidation>
  </dataValidations>
  <printOptions horizontalCentered="1"/>
  <pageMargins left="0.25" right="0.25" top="0.3" bottom="0.25" header="0" footer="0"/>
  <pageSetup scale="47" orientation="portrait" r:id="rId1"/>
  <headerFooter>
    <oddHeader xml:space="preserve">&amp;L&amp;9STATE OF CALIFORNIA
</oddHeader>
    <oddFooter>&amp;C&amp;9Page &amp;P of &amp;N</oddFooter>
  </headerFooter>
  <rowBreaks count="2" manualBreakCount="2">
    <brk id="69" max="12" man="1"/>
    <brk id="70"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99"/>
  </sheetPr>
  <dimension ref="A1:R141"/>
  <sheetViews>
    <sheetView showGridLines="0" zoomScaleNormal="100" workbookViewId="0">
      <pane ySplit="10" topLeftCell="A23" activePane="bottomLeft" state="frozen"/>
      <selection pane="bottomLeft" activeCell="E46" sqref="E46"/>
    </sheetView>
  </sheetViews>
  <sheetFormatPr defaultColWidth="9.140625" defaultRowHeight="12.75" x14ac:dyDescent="0.2"/>
  <cols>
    <col min="1" max="1" width="4.85546875" style="81" customWidth="1"/>
    <col min="2" max="2" width="17.28515625" style="1" customWidth="1"/>
    <col min="3" max="3" width="33.5703125" style="1" customWidth="1"/>
    <col min="4" max="4" width="7.7109375" style="1" customWidth="1"/>
    <col min="5" max="7" width="11.5703125" style="1" customWidth="1"/>
    <col min="8" max="8" width="13.42578125" style="1" customWidth="1"/>
    <col min="9" max="9" width="11.5703125" style="1" customWidth="1"/>
    <col min="10" max="11" width="11.5703125" style="22" customWidth="1"/>
    <col min="12" max="12" width="11" style="22" customWidth="1"/>
    <col min="13" max="13" width="11.5703125" style="22" customWidth="1"/>
    <col min="14" max="14" width="44.7109375" style="22" customWidth="1"/>
    <col min="15" max="25" width="9.140625" style="1" customWidth="1"/>
    <col min="26" max="16384" width="9.140625" style="1"/>
  </cols>
  <sheetData>
    <row r="1" spans="1:14" ht="16.5" customHeight="1" x14ac:dyDescent="0.2">
      <c r="A1" s="637" t="s">
        <v>291</v>
      </c>
      <c r="B1" s="638"/>
      <c r="C1" s="638"/>
      <c r="D1" s="638"/>
      <c r="E1" s="638"/>
      <c r="F1" s="638"/>
      <c r="G1" s="638"/>
      <c r="H1" s="638"/>
      <c r="I1" s="638"/>
      <c r="J1" s="638"/>
      <c r="K1" s="638"/>
      <c r="L1" s="638"/>
      <c r="M1" s="638"/>
      <c r="N1" s="639"/>
    </row>
    <row r="2" spans="1:14" ht="15" customHeight="1" x14ac:dyDescent="0.2">
      <c r="A2" s="422"/>
      <c r="B2" s="531">
        <f>'1. Operating Budget Instruction'!K1</f>
        <v>45763</v>
      </c>
      <c r="C2" s="749" t="s">
        <v>0</v>
      </c>
      <c r="D2" s="749"/>
      <c r="E2" s="332" t="str">
        <f>IF(' 2. Checklist and Cert - 170'!D2="","",' 2. Checklist and Cert - 170'!D2)</f>
        <v/>
      </c>
      <c r="F2" s="333" t="s">
        <v>1</v>
      </c>
      <c r="G2" s="332" t="str">
        <f>IF(' 2. Checklist and Cert - 170'!F2="","",' 2. Checklist and Cert - 170'!F2)</f>
        <v/>
      </c>
      <c r="H2" s="748"/>
      <c r="I2" s="748"/>
      <c r="J2" s="17"/>
      <c r="K2" s="681" t="s">
        <v>153</v>
      </c>
      <c r="L2" s="681"/>
      <c r="M2" s="681"/>
      <c r="N2" s="530" t="str">
        <f>IF(' 2. Checklist and Cert - 170'!D10="","",' 2. Checklist and Cert - 170'!D10)</f>
        <v/>
      </c>
    </row>
    <row r="3" spans="1:14" ht="15" customHeight="1" x14ac:dyDescent="0.2">
      <c r="A3"/>
      <c r="B3"/>
      <c r="C3" s="375"/>
      <c r="D3"/>
      <c r="E3" s="681" t="str">
        <f>' 2. Checklist and Cert - 170'!A5</f>
        <v xml:space="preserve">1. HCD/CalHFA #:  </v>
      </c>
      <c r="F3" s="681"/>
      <c r="G3" s="744" t="str">
        <f>IF(' 2. Checklist and Cert - 170'!D5="","",' 2. Checklist and Cert - 170'!D5)</f>
        <v/>
      </c>
      <c r="H3" s="744"/>
      <c r="I3" s="374"/>
      <c r="J3" s="17"/>
      <c r="K3" s="681" t="s">
        <v>154</v>
      </c>
      <c r="L3" s="681"/>
      <c r="M3" s="681"/>
      <c r="N3" s="230" t="str">
        <f>IF(' 2. Checklist and Cert - 170'!L9="","",' 2. Checklist and Cert - 170'!L9)</f>
        <v/>
      </c>
    </row>
    <row r="4" spans="1:14" s="4" customFormat="1" ht="15" customHeight="1" x14ac:dyDescent="0.2">
      <c r="A4" s="709" t="s">
        <v>2</v>
      </c>
      <c r="B4" s="709"/>
      <c r="C4" s="334" t="str">
        <f>IF(' 2. Checklist and Cert - 170'!D3="","",' 2. Checklist and Cert - 170'!D3)</f>
        <v/>
      </c>
      <c r="D4" s="374"/>
      <c r="E4" s="681" t="str">
        <f>' 2. Checklist and Cert - 170'!A6</f>
        <v xml:space="preserve">2. HCD/CalHFA #:  </v>
      </c>
      <c r="F4" s="681"/>
      <c r="G4" s="744" t="str">
        <f>IF(' 2. Checklist and Cert - 170'!D6="","",' 2. Checklist and Cert - 170'!D6)</f>
        <v/>
      </c>
      <c r="H4" s="744"/>
      <c r="I4" s="374"/>
      <c r="J4" s="17"/>
      <c r="K4" s="681" t="str">
        <f>CONCATENATE(' 2. Checklist and Cert - 170'!M2," Units:")</f>
        <v>Assisted Units:</v>
      </c>
      <c r="L4" s="681"/>
      <c r="M4" s="681"/>
      <c r="N4" s="183">
        <f>IF(' 2. Checklist and Cert - 170'!L2="",0,' 2. Checklist and Cert - 170'!L2)</f>
        <v>0</v>
      </c>
    </row>
    <row r="5" spans="1:14" s="4" customFormat="1" ht="15" customHeight="1" x14ac:dyDescent="0.2">
      <c r="A5" s="709" t="s">
        <v>148</v>
      </c>
      <c r="B5" s="709"/>
      <c r="C5" s="335" t="str">
        <f>IF(' 2. Checklist and Cert - 170'!D4="","",' 2. Checklist and Cert - 170'!D4)</f>
        <v/>
      </c>
      <c r="D5" s="374"/>
      <c r="E5" s="681" t="str">
        <f>' 2. Checklist and Cert - 170'!A7</f>
        <v xml:space="preserve">3. HCD/CalHFA #:  </v>
      </c>
      <c r="F5" s="681"/>
      <c r="G5" s="744" t="str">
        <f>IF(' 2. Checklist and Cert - 170'!D7="","",' 2. Checklist and Cert - 170'!D7)</f>
        <v/>
      </c>
      <c r="H5" s="744"/>
      <c r="I5" s="374"/>
      <c r="J5" s="17"/>
      <c r="K5" s="681" t="s">
        <v>149</v>
      </c>
      <c r="L5" s="681"/>
      <c r="M5" s="681"/>
      <c r="N5" s="184">
        <f>IF(' 2. Checklist and Cert - 170'!L3="",0,' 2. Checklist and Cert - 170'!L3)</f>
        <v>0</v>
      </c>
    </row>
    <row r="6" spans="1:14" s="4" customFormat="1" ht="15" customHeight="1" x14ac:dyDescent="0.2">
      <c r="A6" s="709" t="s">
        <v>146</v>
      </c>
      <c r="B6" s="709"/>
      <c r="C6" s="335" t="str">
        <f>IF(' 2. Checklist and Cert - 170'!D9="","",' 2. Checklist and Cert - 170'!D9)</f>
        <v/>
      </c>
      <c r="D6" s="374"/>
      <c r="E6" s="681" t="str">
        <f>' 2. Checklist and Cert - 170'!A8</f>
        <v xml:space="preserve">4. HCD/CalHFA #:  </v>
      </c>
      <c r="F6" s="681"/>
      <c r="G6" s="744" t="str">
        <f>IF(' 2. Checklist and Cert - 170'!D8="","",' 2. Checklist and Cert - 170'!D8)</f>
        <v/>
      </c>
      <c r="H6" s="744"/>
      <c r="I6" s="376"/>
      <c r="J6" s="508"/>
      <c r="K6" s="770" t="s">
        <v>171</v>
      </c>
      <c r="L6" s="770"/>
      <c r="M6" s="770"/>
      <c r="N6" s="247">
        <f>IF(' 2. Checklist and Cert - 170'!$L$5=0,' 2. Checklist and Cert - 170'!$L$4,' 2. Checklist and Cert - 170'!$L$5)</f>
        <v>0</v>
      </c>
    </row>
    <row r="7" spans="1:14" ht="10.15" customHeight="1" thickBot="1" x14ac:dyDescent="0.25">
      <c r="A7" s="745"/>
      <c r="B7" s="746"/>
      <c r="C7" s="746"/>
      <c r="D7" s="746"/>
      <c r="E7" s="746"/>
      <c r="F7" s="746"/>
      <c r="G7" s="746"/>
      <c r="H7" s="746"/>
      <c r="I7" s="746"/>
      <c r="J7" s="746"/>
      <c r="K7"/>
    </row>
    <row r="8" spans="1:14" ht="11.25" customHeight="1" thickTop="1" x14ac:dyDescent="0.2">
      <c r="A8" s="336"/>
      <c r="B8" s="629"/>
      <c r="C8" s="747"/>
      <c r="D8" s="351"/>
      <c r="E8" s="479" t="s">
        <v>277</v>
      </c>
      <c r="F8" s="337" t="s">
        <v>44</v>
      </c>
      <c r="G8" s="338" t="s">
        <v>45</v>
      </c>
      <c r="H8" s="339" t="s">
        <v>46</v>
      </c>
      <c r="I8" s="337" t="s">
        <v>48</v>
      </c>
      <c r="J8" s="496" t="s">
        <v>49</v>
      </c>
      <c r="K8" s="491" t="s">
        <v>50</v>
      </c>
      <c r="L8" s="471" t="s">
        <v>51</v>
      </c>
      <c r="M8" s="511" t="s">
        <v>52</v>
      </c>
      <c r="N8" s="473" t="s">
        <v>53</v>
      </c>
    </row>
    <row r="9" spans="1:14" ht="11.25" customHeight="1" x14ac:dyDescent="0.2">
      <c r="A9" s="752" t="s">
        <v>145</v>
      </c>
      <c r="B9" s="754" t="s">
        <v>60</v>
      </c>
      <c r="C9" s="755"/>
      <c r="D9" s="758" t="s">
        <v>216</v>
      </c>
      <c r="E9" s="760" t="s">
        <v>316</v>
      </c>
      <c r="F9" s="762" t="s">
        <v>313</v>
      </c>
      <c r="G9" s="764" t="str">
        <f>CONCATENATE(' 2. Checklist and Cert - 170'!$M$2," Units Proposed")</f>
        <v>Assisted Units Proposed</v>
      </c>
      <c r="H9" s="750" t="str">
        <f>CONCATENATE("Non-",' 2. Checklist and Cert - 170'!$M$2," Units Proposed")</f>
        <v>Non-Assisted Units Proposed</v>
      </c>
      <c r="I9" s="766" t="s">
        <v>109</v>
      </c>
      <c r="J9" s="768" t="s">
        <v>314</v>
      </c>
      <c r="K9" s="682" t="s">
        <v>312</v>
      </c>
      <c r="L9" s="750" t="s">
        <v>317</v>
      </c>
      <c r="M9" s="635" t="s">
        <v>318</v>
      </c>
      <c r="N9" s="642" t="s">
        <v>279</v>
      </c>
    </row>
    <row r="10" spans="1:14" ht="35.25" customHeight="1" x14ac:dyDescent="0.2">
      <c r="A10" s="753"/>
      <c r="B10" s="756"/>
      <c r="C10" s="757"/>
      <c r="D10" s="759"/>
      <c r="E10" s="761"/>
      <c r="F10" s="763"/>
      <c r="G10" s="765"/>
      <c r="H10" s="751"/>
      <c r="I10" s="767"/>
      <c r="J10" s="769"/>
      <c r="K10" s="683"/>
      <c r="L10" s="751"/>
      <c r="M10" s="636"/>
      <c r="N10" s="643"/>
    </row>
    <row r="11" spans="1:14" ht="15" customHeight="1" x14ac:dyDescent="0.2">
      <c r="A11" s="248"/>
      <c r="B11" s="709" t="s">
        <v>77</v>
      </c>
      <c r="C11" s="710"/>
      <c r="D11" s="20"/>
      <c r="E11" s="127"/>
      <c r="F11" s="128"/>
      <c r="G11" s="127"/>
      <c r="H11" s="127"/>
      <c r="I11" s="128"/>
      <c r="J11" s="370"/>
      <c r="K11" s="27"/>
      <c r="L11" s="521"/>
      <c r="M11" s="27"/>
      <c r="N11" s="371"/>
    </row>
    <row r="12" spans="1:14" ht="15" customHeight="1" x14ac:dyDescent="0.2">
      <c r="A12" s="340">
        <v>1</v>
      </c>
      <c r="B12" s="705" t="s">
        <v>178</v>
      </c>
      <c r="C12" s="706"/>
      <c r="D12" s="342">
        <v>6203</v>
      </c>
      <c r="E12" s="480">
        <v>0</v>
      </c>
      <c r="F12" s="346">
        <f>IF(' 2. Checklist and Cert - 170'!$L$5=0,' 2. Checklist and Cert - 170'!$L$4,' 2. Checklist and Cert - 170'!$L$5)</f>
        <v>0</v>
      </c>
      <c r="G12" s="347">
        <f t="shared" ref="G12:G22" si="0">(E12-I12)*F12</f>
        <v>0</v>
      </c>
      <c r="H12" s="349">
        <f t="shared" ref="H12:H22" si="1">+(E12-G12-I12)</f>
        <v>0</v>
      </c>
      <c r="I12" s="453">
        <v>0</v>
      </c>
      <c r="J12" s="480">
        <v>0</v>
      </c>
      <c r="K12" s="75">
        <f>SUM(J12/8)*12</f>
        <v>0</v>
      </c>
      <c r="L12" s="525">
        <f>E12-K12</f>
        <v>0</v>
      </c>
      <c r="M12" s="522">
        <f>IFERROR(L12/K12,0)</f>
        <v>0</v>
      </c>
      <c r="N12" s="449"/>
    </row>
    <row r="13" spans="1:14" ht="15" customHeight="1" x14ac:dyDescent="0.2">
      <c r="A13" s="340">
        <v>2</v>
      </c>
      <c r="B13" s="705" t="s">
        <v>179</v>
      </c>
      <c r="C13" s="706"/>
      <c r="D13" s="342">
        <v>6204</v>
      </c>
      <c r="E13" s="480">
        <v>0</v>
      </c>
      <c r="F13" s="346">
        <f>IF(' 2. Checklist and Cert - 170'!$L$5=0,' 2. Checklist and Cert - 170'!$L$4,' 2. Checklist and Cert - 170'!$L$5)</f>
        <v>0</v>
      </c>
      <c r="G13" s="347">
        <f>(E13-I13)*F13</f>
        <v>0</v>
      </c>
      <c r="H13" s="349">
        <f>+(E13-G13-I13)</f>
        <v>0</v>
      </c>
      <c r="I13" s="453">
        <v>0</v>
      </c>
      <c r="J13" s="480">
        <v>0</v>
      </c>
      <c r="K13" s="75">
        <f t="shared" ref="K13:K27" si="2">SUM(J13/8)*12</f>
        <v>0</v>
      </c>
      <c r="L13" s="525">
        <f t="shared" ref="L13:L27" si="3">E13-K13</f>
        <v>0</v>
      </c>
      <c r="M13" s="522">
        <f t="shared" ref="M13:M27" si="4">IFERROR(L13/K13,0)</f>
        <v>0</v>
      </c>
      <c r="N13" s="449"/>
    </row>
    <row r="14" spans="1:14" ht="15" customHeight="1" x14ac:dyDescent="0.2">
      <c r="A14" s="340">
        <v>3</v>
      </c>
      <c r="B14" s="705" t="s">
        <v>180</v>
      </c>
      <c r="C14" s="706"/>
      <c r="D14" s="342">
        <v>6210</v>
      </c>
      <c r="E14" s="480">
        <v>0</v>
      </c>
      <c r="F14" s="346">
        <f>IF(' 2. Checklist and Cert - 170'!$L$5=0,' 2. Checklist and Cert - 170'!$L$4,' 2. Checklist and Cert - 170'!$L$5)</f>
        <v>0</v>
      </c>
      <c r="G14" s="347">
        <f t="shared" si="0"/>
        <v>0</v>
      </c>
      <c r="H14" s="349">
        <f t="shared" si="1"/>
        <v>0</v>
      </c>
      <c r="I14" s="453">
        <v>0</v>
      </c>
      <c r="J14" s="480">
        <v>0</v>
      </c>
      <c r="K14" s="75">
        <f t="shared" si="2"/>
        <v>0</v>
      </c>
      <c r="L14" s="525">
        <f t="shared" si="3"/>
        <v>0</v>
      </c>
      <c r="M14" s="522">
        <f t="shared" si="4"/>
        <v>0</v>
      </c>
      <c r="N14" s="449"/>
    </row>
    <row r="15" spans="1:14" ht="15" customHeight="1" x14ac:dyDescent="0.2">
      <c r="A15" s="340">
        <v>4</v>
      </c>
      <c r="B15" s="705" t="s">
        <v>4</v>
      </c>
      <c r="C15" s="706"/>
      <c r="D15" s="342">
        <v>6250</v>
      </c>
      <c r="E15" s="480">
        <v>0</v>
      </c>
      <c r="F15" s="346">
        <f>IF(' 2. Checklist and Cert - 170'!$L$5=0,' 2. Checklist and Cert - 170'!$L$4,' 2. Checklist and Cert - 170'!$L$5)</f>
        <v>0</v>
      </c>
      <c r="G15" s="347">
        <f t="shared" si="0"/>
        <v>0</v>
      </c>
      <c r="H15" s="349">
        <f t="shared" si="1"/>
        <v>0</v>
      </c>
      <c r="I15" s="453">
        <v>0</v>
      </c>
      <c r="J15" s="480">
        <v>0</v>
      </c>
      <c r="K15" s="75">
        <f t="shared" si="2"/>
        <v>0</v>
      </c>
      <c r="L15" s="525">
        <f t="shared" si="3"/>
        <v>0</v>
      </c>
      <c r="M15" s="522">
        <f t="shared" si="4"/>
        <v>0</v>
      </c>
      <c r="N15" s="449"/>
    </row>
    <row r="16" spans="1:14" ht="15" customHeight="1" x14ac:dyDescent="0.2">
      <c r="A16" s="340">
        <v>5</v>
      </c>
      <c r="B16" s="705" t="s">
        <v>5</v>
      </c>
      <c r="C16" s="706"/>
      <c r="D16" s="342">
        <v>6310</v>
      </c>
      <c r="E16" s="480">
        <v>0</v>
      </c>
      <c r="F16" s="346">
        <f>IF(' 2. Checklist and Cert - 170'!$L$5=0,' 2. Checklist and Cert - 170'!$L$4,' 2. Checklist and Cert - 170'!$L$5)</f>
        <v>0</v>
      </c>
      <c r="G16" s="347">
        <f t="shared" si="0"/>
        <v>0</v>
      </c>
      <c r="H16" s="349">
        <f t="shared" si="1"/>
        <v>0</v>
      </c>
      <c r="I16" s="453">
        <v>0</v>
      </c>
      <c r="J16" s="480">
        <v>0</v>
      </c>
      <c r="K16" s="75">
        <f t="shared" si="2"/>
        <v>0</v>
      </c>
      <c r="L16" s="525">
        <f t="shared" si="3"/>
        <v>0</v>
      </c>
      <c r="M16" s="522">
        <f t="shared" si="4"/>
        <v>0</v>
      </c>
      <c r="N16" s="449"/>
    </row>
    <row r="17" spans="1:14" ht="15" customHeight="1" x14ac:dyDescent="0.2">
      <c r="A17" s="340">
        <v>6</v>
      </c>
      <c r="B17" s="705" t="s">
        <v>181</v>
      </c>
      <c r="C17" s="706"/>
      <c r="D17" s="342">
        <v>6311</v>
      </c>
      <c r="E17" s="480">
        <v>0</v>
      </c>
      <c r="F17" s="346">
        <f>IF(' 2. Checklist and Cert - 170'!$L$5=0,' 2. Checklist and Cert - 170'!$L$4,' 2. Checklist and Cert - 170'!$L$5)</f>
        <v>0</v>
      </c>
      <c r="G17" s="347">
        <f t="shared" si="0"/>
        <v>0</v>
      </c>
      <c r="H17" s="349">
        <f t="shared" si="1"/>
        <v>0</v>
      </c>
      <c r="I17" s="453">
        <v>0</v>
      </c>
      <c r="J17" s="480">
        <v>0</v>
      </c>
      <c r="K17" s="75">
        <f t="shared" si="2"/>
        <v>0</v>
      </c>
      <c r="L17" s="525">
        <f t="shared" si="3"/>
        <v>0</v>
      </c>
      <c r="M17" s="522">
        <f t="shared" si="4"/>
        <v>0</v>
      </c>
      <c r="N17" s="449"/>
    </row>
    <row r="18" spans="1:14" ht="15" customHeight="1" x14ac:dyDescent="0.2">
      <c r="A18" s="340">
        <v>7</v>
      </c>
      <c r="B18" s="713" t="s">
        <v>6</v>
      </c>
      <c r="C18" s="713"/>
      <c r="D18" s="342">
        <v>6312</v>
      </c>
      <c r="E18" s="480">
        <v>0</v>
      </c>
      <c r="F18" s="346">
        <f>IF(' 2. Checklist and Cert - 170'!$L$5=0,' 2. Checklist and Cert - 170'!$L$4,' 2. Checklist and Cert - 170'!$L$5)</f>
        <v>0</v>
      </c>
      <c r="G18" s="347">
        <f t="shared" si="0"/>
        <v>0</v>
      </c>
      <c r="H18" s="349">
        <f t="shared" si="1"/>
        <v>0</v>
      </c>
      <c r="I18" s="453">
        <v>0</v>
      </c>
      <c r="J18" s="480">
        <v>0</v>
      </c>
      <c r="K18" s="75">
        <f t="shared" si="2"/>
        <v>0</v>
      </c>
      <c r="L18" s="525">
        <f t="shared" si="3"/>
        <v>0</v>
      </c>
      <c r="M18" s="522">
        <f t="shared" si="4"/>
        <v>0</v>
      </c>
      <c r="N18" s="449"/>
    </row>
    <row r="19" spans="1:14" ht="15" customHeight="1" x14ac:dyDescent="0.2">
      <c r="A19" s="340">
        <v>8</v>
      </c>
      <c r="B19" s="713" t="s">
        <v>182</v>
      </c>
      <c r="C19" s="713"/>
      <c r="D19" s="342">
        <v>6320</v>
      </c>
      <c r="E19" s="480">
        <v>0</v>
      </c>
      <c r="F19" s="346">
        <f>IF(' 2. Checklist and Cert - 170'!$L$5=0,' 2. Checklist and Cert - 170'!$L$4,' 2. Checklist and Cert - 170'!$L$5)</f>
        <v>0</v>
      </c>
      <c r="G19" s="347">
        <f t="shared" si="0"/>
        <v>0</v>
      </c>
      <c r="H19" s="349">
        <f t="shared" si="1"/>
        <v>0</v>
      </c>
      <c r="I19" s="453">
        <v>0</v>
      </c>
      <c r="J19" s="480">
        <v>0</v>
      </c>
      <c r="K19" s="75">
        <f t="shared" si="2"/>
        <v>0</v>
      </c>
      <c r="L19" s="525">
        <f t="shared" si="3"/>
        <v>0</v>
      </c>
      <c r="M19" s="522">
        <f t="shared" si="4"/>
        <v>0</v>
      </c>
      <c r="N19" s="449"/>
    </row>
    <row r="20" spans="1:14" ht="15" customHeight="1" x14ac:dyDescent="0.2">
      <c r="A20" s="340">
        <v>9</v>
      </c>
      <c r="B20" s="705" t="s">
        <v>7</v>
      </c>
      <c r="C20" s="706"/>
      <c r="D20" s="342">
        <v>6330</v>
      </c>
      <c r="E20" s="480">
        <v>0</v>
      </c>
      <c r="F20" s="346">
        <f>IF(' 2. Checklist and Cert - 170'!$L$5=0,' 2. Checklist and Cert - 170'!$L$4,' 2. Checklist and Cert - 170'!$L$5)</f>
        <v>0</v>
      </c>
      <c r="G20" s="347">
        <f t="shared" si="0"/>
        <v>0</v>
      </c>
      <c r="H20" s="349">
        <f t="shared" si="1"/>
        <v>0</v>
      </c>
      <c r="I20" s="453">
        <v>0</v>
      </c>
      <c r="J20" s="480">
        <v>0</v>
      </c>
      <c r="K20" s="75">
        <f t="shared" si="2"/>
        <v>0</v>
      </c>
      <c r="L20" s="525">
        <f t="shared" si="3"/>
        <v>0</v>
      </c>
      <c r="M20" s="522">
        <f t="shared" si="4"/>
        <v>0</v>
      </c>
      <c r="N20" s="449"/>
    </row>
    <row r="21" spans="1:14" ht="15" customHeight="1" x14ac:dyDescent="0.2">
      <c r="A21" s="340">
        <v>10</v>
      </c>
      <c r="B21" s="705" t="s">
        <v>183</v>
      </c>
      <c r="C21" s="706"/>
      <c r="D21" s="342">
        <v>6331</v>
      </c>
      <c r="E21" s="480">
        <v>0</v>
      </c>
      <c r="F21" s="346">
        <f>IF(' 2. Checklist and Cert - 170'!$L$5=0,' 2. Checklist and Cert - 170'!$L$4,' 2. Checklist and Cert - 170'!$L$5)</f>
        <v>0</v>
      </c>
      <c r="G21" s="347">
        <f t="shared" si="0"/>
        <v>0</v>
      </c>
      <c r="H21" s="349">
        <f t="shared" si="1"/>
        <v>0</v>
      </c>
      <c r="I21" s="453">
        <v>0</v>
      </c>
      <c r="J21" s="480">
        <v>0</v>
      </c>
      <c r="K21" s="75">
        <f t="shared" si="2"/>
        <v>0</v>
      </c>
      <c r="L21" s="525">
        <f t="shared" si="3"/>
        <v>0</v>
      </c>
      <c r="M21" s="522">
        <f t="shared" si="4"/>
        <v>0</v>
      </c>
      <c r="N21" s="449"/>
    </row>
    <row r="22" spans="1:14" ht="15" customHeight="1" x14ac:dyDescent="0.2">
      <c r="A22" s="340">
        <v>11</v>
      </c>
      <c r="B22" s="705" t="s">
        <v>8</v>
      </c>
      <c r="C22" s="706"/>
      <c r="D22" s="342">
        <v>6340</v>
      </c>
      <c r="E22" s="480">
        <v>0</v>
      </c>
      <c r="F22" s="346">
        <f>IF(' 2. Checklist and Cert - 170'!$L$5=0,' 2. Checklist and Cert - 170'!$L$4,' 2. Checklist and Cert - 170'!$L$5)</f>
        <v>0</v>
      </c>
      <c r="G22" s="347">
        <f t="shared" si="0"/>
        <v>0</v>
      </c>
      <c r="H22" s="349">
        <f t="shared" si="1"/>
        <v>0</v>
      </c>
      <c r="I22" s="453">
        <v>0</v>
      </c>
      <c r="J22" s="480">
        <v>0</v>
      </c>
      <c r="K22" s="75">
        <f t="shared" si="2"/>
        <v>0</v>
      </c>
      <c r="L22" s="525">
        <f t="shared" si="3"/>
        <v>0</v>
      </c>
      <c r="M22" s="522">
        <f t="shared" si="4"/>
        <v>0</v>
      </c>
      <c r="N22" s="449"/>
    </row>
    <row r="23" spans="1:14" ht="15" customHeight="1" x14ac:dyDescent="0.2">
      <c r="A23" s="340">
        <v>12</v>
      </c>
      <c r="B23" s="705" t="s">
        <v>184</v>
      </c>
      <c r="C23" s="706"/>
      <c r="D23" s="342">
        <v>6350</v>
      </c>
      <c r="E23" s="480">
        <v>0</v>
      </c>
      <c r="F23" s="346">
        <f>IF(' 2. Checklist and Cert - 170'!$L$5=0,' 2. Checklist and Cert - 170'!$L$4,' 2. Checklist and Cert - 170'!$L$5)</f>
        <v>0</v>
      </c>
      <c r="G23" s="347">
        <f>(E23-I23)*F23</f>
        <v>0</v>
      </c>
      <c r="H23" s="349">
        <f>+(E23-G23-I23)</f>
        <v>0</v>
      </c>
      <c r="I23" s="453">
        <v>0</v>
      </c>
      <c r="J23" s="480">
        <v>0</v>
      </c>
      <c r="K23" s="75">
        <f t="shared" si="2"/>
        <v>0</v>
      </c>
      <c r="L23" s="525">
        <f t="shared" si="3"/>
        <v>0</v>
      </c>
      <c r="M23" s="522">
        <f t="shared" si="4"/>
        <v>0</v>
      </c>
      <c r="N23" s="449"/>
    </row>
    <row r="24" spans="1:14" ht="15" customHeight="1" x14ac:dyDescent="0.2">
      <c r="A24" s="340">
        <v>13</v>
      </c>
      <c r="B24" s="705" t="s">
        <v>185</v>
      </c>
      <c r="C24" s="706"/>
      <c r="D24" s="342">
        <v>6351</v>
      </c>
      <c r="E24" s="480">
        <v>0</v>
      </c>
      <c r="F24" s="346">
        <f>IF(' 2. Checklist and Cert - 170'!$L$5=0,' 2. Checklist and Cert - 170'!$L$4,' 2. Checklist and Cert - 170'!$L$5)</f>
        <v>0</v>
      </c>
      <c r="G24" s="347">
        <f>(E24-I24)*F24</f>
        <v>0</v>
      </c>
      <c r="H24" s="349">
        <f>+(E24-G24-I24)</f>
        <v>0</v>
      </c>
      <c r="I24" s="453">
        <v>0</v>
      </c>
      <c r="J24" s="480">
        <v>0</v>
      </c>
      <c r="K24" s="75">
        <f t="shared" si="2"/>
        <v>0</v>
      </c>
      <c r="L24" s="525">
        <f t="shared" si="3"/>
        <v>0</v>
      </c>
      <c r="M24" s="522">
        <f t="shared" si="4"/>
        <v>0</v>
      </c>
      <c r="N24" s="449"/>
    </row>
    <row r="25" spans="1:14" ht="15" customHeight="1" x14ac:dyDescent="0.2">
      <c r="A25" s="340">
        <v>14</v>
      </c>
      <c r="B25" s="705" t="s">
        <v>186</v>
      </c>
      <c r="C25" s="706"/>
      <c r="D25" s="342">
        <v>6370</v>
      </c>
      <c r="E25" s="480">
        <v>0</v>
      </c>
      <c r="F25" s="346">
        <f>IF(' 2. Checklist and Cert - 170'!$L$5=0,' 2. Checklist and Cert - 170'!$L$4,' 2. Checklist and Cert - 170'!$L$5)</f>
        <v>0</v>
      </c>
      <c r="G25" s="347">
        <f>(E25-I25)*F25</f>
        <v>0</v>
      </c>
      <c r="H25" s="349">
        <f>+(E25-G25-I25)</f>
        <v>0</v>
      </c>
      <c r="I25" s="453">
        <v>0</v>
      </c>
      <c r="J25" s="480">
        <v>0</v>
      </c>
      <c r="K25" s="75">
        <f t="shared" si="2"/>
        <v>0</v>
      </c>
      <c r="L25" s="525">
        <f t="shared" si="3"/>
        <v>0</v>
      </c>
      <c r="M25" s="522">
        <f t="shared" si="4"/>
        <v>0</v>
      </c>
      <c r="N25" s="449"/>
    </row>
    <row r="26" spans="1:14" ht="15" customHeight="1" x14ac:dyDescent="0.2">
      <c r="A26" s="340">
        <v>15</v>
      </c>
      <c r="B26" s="721" t="s">
        <v>221</v>
      </c>
      <c r="C26" s="722"/>
      <c r="D26" s="342">
        <v>6390</v>
      </c>
      <c r="E26" s="47">
        <f>I86</f>
        <v>0</v>
      </c>
      <c r="F26" s="346">
        <f>IF(' 2. Checklist and Cert - 170'!$L$5=0,' 2. Checklist and Cert - 170'!$L$4,' 2. Checklist and Cert - 170'!$L$5)</f>
        <v>0</v>
      </c>
      <c r="G26" s="347">
        <f>(E26-I26)*F26</f>
        <v>0</v>
      </c>
      <c r="H26" s="349">
        <f>+(E26-G26-I26)</f>
        <v>0</v>
      </c>
      <c r="I26" s="453">
        <v>0</v>
      </c>
      <c r="J26" s="480">
        <v>0</v>
      </c>
      <c r="K26" s="75">
        <f t="shared" si="2"/>
        <v>0</v>
      </c>
      <c r="L26" s="525">
        <f t="shared" si="3"/>
        <v>0</v>
      </c>
      <c r="M26" s="522">
        <f t="shared" si="4"/>
        <v>0</v>
      </c>
      <c r="N26" s="449"/>
    </row>
    <row r="27" spans="1:14" ht="15" customHeight="1" x14ac:dyDescent="0.2">
      <c r="A27" s="341">
        <v>16</v>
      </c>
      <c r="B27" s="714" t="s">
        <v>79</v>
      </c>
      <c r="C27" s="715"/>
      <c r="D27" s="343" t="s">
        <v>78</v>
      </c>
      <c r="E27" s="345">
        <f>SUM(E12:E26)</f>
        <v>0</v>
      </c>
      <c r="F27" s="79"/>
      <c r="G27" s="348">
        <f>SUM(G12:G26)</f>
        <v>0</v>
      </c>
      <c r="H27" s="350">
        <f>SUM(H12:H26)</f>
        <v>0</v>
      </c>
      <c r="I27" s="359">
        <f>SUM(I12:I26)</f>
        <v>0</v>
      </c>
      <c r="J27" s="372">
        <f>SUM(J12:J26)</f>
        <v>0</v>
      </c>
      <c r="K27" s="118">
        <f t="shared" si="2"/>
        <v>0</v>
      </c>
      <c r="L27" s="118">
        <f t="shared" si="3"/>
        <v>0</v>
      </c>
      <c r="M27" s="523">
        <f t="shared" si="4"/>
        <v>0</v>
      </c>
      <c r="N27" s="481"/>
    </row>
    <row r="28" spans="1:14" ht="15" customHeight="1" x14ac:dyDescent="0.2">
      <c r="A28" s="249"/>
      <c r="B28" s="709" t="s">
        <v>114</v>
      </c>
      <c r="C28" s="710"/>
      <c r="D28" s="20"/>
      <c r="E28" s="129"/>
      <c r="F28" s="78"/>
      <c r="G28" s="29"/>
      <c r="H28" s="44"/>
      <c r="I28" s="90"/>
      <c r="J28" s="509"/>
      <c r="K28" s="129"/>
      <c r="L28" s="527"/>
      <c r="M28" s="522"/>
      <c r="N28" s="161"/>
    </row>
    <row r="29" spans="1:14" ht="15" customHeight="1" x14ac:dyDescent="0.2">
      <c r="A29" s="340">
        <v>17</v>
      </c>
      <c r="B29" s="705" t="s">
        <v>9</v>
      </c>
      <c r="C29" s="706"/>
      <c r="D29" s="342">
        <v>6450</v>
      </c>
      <c r="E29" s="445">
        <v>0</v>
      </c>
      <c r="F29" s="346">
        <f>IF(' 2. Checklist and Cert - 170'!$L$5=0,' 2. Checklist and Cert - 170'!$L$4,' 2. Checklist and Cert - 170'!$L$5)</f>
        <v>0</v>
      </c>
      <c r="G29" s="347">
        <f>(E29-I29)*F29</f>
        <v>0</v>
      </c>
      <c r="H29" s="349">
        <f>+(E29-G29-I29)</f>
        <v>0</v>
      </c>
      <c r="I29" s="453">
        <v>0</v>
      </c>
      <c r="J29" s="445">
        <v>0</v>
      </c>
      <c r="K29" s="129">
        <f t="shared" ref="K29:K33" si="5">SUM(J29/8)*12</f>
        <v>0</v>
      </c>
      <c r="L29" s="526">
        <f t="shared" ref="L29:L33" si="6">E29-K29</f>
        <v>0</v>
      </c>
      <c r="M29" s="522">
        <f t="shared" ref="M29:M33" si="7">IFERROR(L29/K29,0)</f>
        <v>0</v>
      </c>
      <c r="N29" s="449"/>
    </row>
    <row r="30" spans="1:14" ht="15" customHeight="1" x14ac:dyDescent="0.2">
      <c r="A30" s="340">
        <v>18</v>
      </c>
      <c r="B30" s="705" t="s">
        <v>10</v>
      </c>
      <c r="C30" s="706"/>
      <c r="D30" s="342">
        <v>6451</v>
      </c>
      <c r="E30" s="445">
        <v>0</v>
      </c>
      <c r="F30" s="346">
        <f>IF(' 2. Checklist and Cert - 170'!$L$5=0,' 2. Checklist and Cert - 170'!$L$4,' 2. Checklist and Cert - 170'!$L$5)</f>
        <v>0</v>
      </c>
      <c r="G30" s="347">
        <f>(E30-I30)*F30</f>
        <v>0</v>
      </c>
      <c r="H30" s="349">
        <f>+(E30-G30-I30)</f>
        <v>0</v>
      </c>
      <c r="I30" s="453">
        <v>0</v>
      </c>
      <c r="J30" s="445">
        <v>0</v>
      </c>
      <c r="K30" s="129">
        <f t="shared" si="5"/>
        <v>0</v>
      </c>
      <c r="L30" s="526">
        <f t="shared" si="6"/>
        <v>0</v>
      </c>
      <c r="M30" s="522">
        <f t="shared" si="7"/>
        <v>0</v>
      </c>
      <c r="N30" s="449"/>
    </row>
    <row r="31" spans="1:14" ht="15" customHeight="1" x14ac:dyDescent="0.2">
      <c r="A31" s="340">
        <v>19</v>
      </c>
      <c r="B31" s="705" t="s">
        <v>11</v>
      </c>
      <c r="C31" s="706"/>
      <c r="D31" s="342">
        <v>6452</v>
      </c>
      <c r="E31" s="445">
        <v>0</v>
      </c>
      <c r="F31" s="346">
        <f>IF(' 2. Checklist and Cert - 170'!$L$5=0,' 2. Checklist and Cert - 170'!$L$4,' 2. Checklist and Cert - 170'!$L$5)</f>
        <v>0</v>
      </c>
      <c r="G31" s="347">
        <f>(E31-I31)*F31</f>
        <v>0</v>
      </c>
      <c r="H31" s="349">
        <f>+(E31-G31-I31)</f>
        <v>0</v>
      </c>
      <c r="I31" s="453">
        <v>0</v>
      </c>
      <c r="J31" s="445">
        <v>0</v>
      </c>
      <c r="K31" s="129">
        <f t="shared" si="5"/>
        <v>0</v>
      </c>
      <c r="L31" s="526">
        <f t="shared" si="6"/>
        <v>0</v>
      </c>
      <c r="M31" s="522">
        <f t="shared" si="7"/>
        <v>0</v>
      </c>
      <c r="N31" s="449"/>
    </row>
    <row r="32" spans="1:14" ht="15" customHeight="1" x14ac:dyDescent="0.2">
      <c r="A32" s="340">
        <v>20</v>
      </c>
      <c r="B32" s="705" t="s">
        <v>12</v>
      </c>
      <c r="C32" s="706"/>
      <c r="D32" s="342">
        <v>6453</v>
      </c>
      <c r="E32" s="445">
        <v>0</v>
      </c>
      <c r="F32" s="346">
        <f>IF(' 2. Checklist and Cert - 170'!$L$5=0,' 2. Checklist and Cert - 170'!$L$4,' 2. Checklist and Cert - 170'!$L$5)</f>
        <v>0</v>
      </c>
      <c r="G32" s="347">
        <f>(E32-I32)*F32</f>
        <v>0</v>
      </c>
      <c r="H32" s="349">
        <f>+(E32-G32-I32)</f>
        <v>0</v>
      </c>
      <c r="I32" s="453">
        <v>0</v>
      </c>
      <c r="J32" s="445">
        <v>0</v>
      </c>
      <c r="K32" s="129">
        <f t="shared" si="5"/>
        <v>0</v>
      </c>
      <c r="L32" s="526">
        <f t="shared" si="6"/>
        <v>0</v>
      </c>
      <c r="M32" s="522">
        <f t="shared" si="7"/>
        <v>0</v>
      </c>
      <c r="N32" s="449"/>
    </row>
    <row r="33" spans="1:14" ht="15" customHeight="1" x14ac:dyDescent="0.2">
      <c r="A33" s="341">
        <v>21</v>
      </c>
      <c r="B33" s="714" t="s">
        <v>91</v>
      </c>
      <c r="C33" s="715"/>
      <c r="D33" s="343" t="s">
        <v>13</v>
      </c>
      <c r="E33" s="364">
        <f>SUM(E29:E32)</f>
        <v>0</v>
      </c>
      <c r="F33" s="80"/>
      <c r="G33" s="348">
        <f>SUM(G29:G32)</f>
        <v>0</v>
      </c>
      <c r="H33" s="350">
        <f>SUM(H29:H32)</f>
        <v>0</v>
      </c>
      <c r="I33" s="359">
        <f>SUM(I29:I32)</f>
        <v>0</v>
      </c>
      <c r="J33" s="45">
        <f>SUM(J29:J32)</f>
        <v>0</v>
      </c>
      <c r="K33" s="372">
        <f t="shared" si="5"/>
        <v>0</v>
      </c>
      <c r="L33" s="118">
        <f t="shared" si="6"/>
        <v>0</v>
      </c>
      <c r="M33" s="523">
        <f t="shared" si="7"/>
        <v>0</v>
      </c>
      <c r="N33" s="481"/>
    </row>
    <row r="34" spans="1:14" ht="15" customHeight="1" x14ac:dyDescent="0.2">
      <c r="A34" s="249"/>
      <c r="B34" s="709" t="s">
        <v>187</v>
      </c>
      <c r="C34" s="710"/>
      <c r="D34" s="20"/>
      <c r="E34" s="47"/>
      <c r="F34" s="78"/>
      <c r="G34" s="29"/>
      <c r="H34" s="44"/>
      <c r="I34" s="90"/>
      <c r="J34" s="47"/>
      <c r="K34" s="129"/>
      <c r="L34" s="527"/>
      <c r="M34" s="522"/>
      <c r="N34" s="161"/>
    </row>
    <row r="35" spans="1:14" ht="15" customHeight="1" x14ac:dyDescent="0.2">
      <c r="A35" s="340">
        <v>22</v>
      </c>
      <c r="B35" s="705" t="s">
        <v>188</v>
      </c>
      <c r="C35" s="706"/>
      <c r="D35" s="342">
        <v>6510</v>
      </c>
      <c r="E35" s="445">
        <v>0</v>
      </c>
      <c r="F35" s="346">
        <f>IF(' 2. Checklist and Cert - 170'!$L$5=0,' 2. Checklist and Cert - 170'!$L$4,' 2. Checklist and Cert - 170'!$L$5)</f>
        <v>0</v>
      </c>
      <c r="G35" s="347">
        <f t="shared" ref="G35:G46" si="8">(E35-I35)*F35</f>
        <v>0</v>
      </c>
      <c r="H35" s="349">
        <f t="shared" ref="H35:H46" si="9">+(E35-G35-I35)</f>
        <v>0</v>
      </c>
      <c r="I35" s="453">
        <v>0</v>
      </c>
      <c r="J35" s="445">
        <v>0</v>
      </c>
      <c r="K35" s="129">
        <f t="shared" ref="K35:K47" si="10">SUM(J35/8)*12</f>
        <v>0</v>
      </c>
      <c r="L35" s="526">
        <f t="shared" ref="L35:L47" si="11">E35-K35</f>
        <v>0</v>
      </c>
      <c r="M35" s="522">
        <f t="shared" ref="M35:M47" si="12">IFERROR(L35/K35,0)</f>
        <v>0</v>
      </c>
      <c r="N35" s="449"/>
    </row>
    <row r="36" spans="1:14" ht="15" customHeight="1" x14ac:dyDescent="0.2">
      <c r="A36" s="340">
        <v>23</v>
      </c>
      <c r="B36" s="705" t="s">
        <v>189</v>
      </c>
      <c r="C36" s="706"/>
      <c r="D36" s="342">
        <v>6515</v>
      </c>
      <c r="E36" s="445">
        <v>0</v>
      </c>
      <c r="F36" s="346">
        <f>IF(' 2. Checklist and Cert - 170'!$L$5=0,' 2. Checklist and Cert - 170'!$L$4,' 2. Checklist and Cert - 170'!$L$5)</f>
        <v>0</v>
      </c>
      <c r="G36" s="347">
        <f t="shared" si="8"/>
        <v>0</v>
      </c>
      <c r="H36" s="349">
        <f t="shared" si="9"/>
        <v>0</v>
      </c>
      <c r="I36" s="453">
        <v>0</v>
      </c>
      <c r="J36" s="445">
        <v>0</v>
      </c>
      <c r="K36" s="129">
        <f t="shared" si="10"/>
        <v>0</v>
      </c>
      <c r="L36" s="526">
        <f t="shared" si="11"/>
        <v>0</v>
      </c>
      <c r="M36" s="522">
        <f t="shared" si="12"/>
        <v>0</v>
      </c>
      <c r="N36" s="449"/>
    </row>
    <row r="37" spans="1:14" ht="15" customHeight="1" x14ac:dyDescent="0.2">
      <c r="A37" s="340">
        <v>24</v>
      </c>
      <c r="B37" s="705" t="s">
        <v>190</v>
      </c>
      <c r="C37" s="706"/>
      <c r="D37" s="342">
        <v>6520</v>
      </c>
      <c r="E37" s="445">
        <v>0</v>
      </c>
      <c r="F37" s="346">
        <f>IF(' 2. Checklist and Cert - 170'!$L$5=0,' 2. Checklist and Cert - 170'!$L$4,' 2. Checklist and Cert - 170'!$L$5)</f>
        <v>0</v>
      </c>
      <c r="G37" s="347">
        <f t="shared" si="8"/>
        <v>0</v>
      </c>
      <c r="H37" s="349">
        <f t="shared" si="9"/>
        <v>0</v>
      </c>
      <c r="I37" s="453">
        <v>0</v>
      </c>
      <c r="J37" s="445">
        <v>0</v>
      </c>
      <c r="K37" s="129">
        <f t="shared" si="10"/>
        <v>0</v>
      </c>
      <c r="L37" s="526">
        <f t="shared" si="11"/>
        <v>0</v>
      </c>
      <c r="M37" s="522">
        <f t="shared" si="12"/>
        <v>0</v>
      </c>
      <c r="N37" s="449"/>
    </row>
    <row r="38" spans="1:14" ht="15" customHeight="1" x14ac:dyDescent="0.2">
      <c r="A38" s="340">
        <v>25</v>
      </c>
      <c r="B38" s="705" t="s">
        <v>191</v>
      </c>
      <c r="C38" s="706"/>
      <c r="D38" s="342">
        <v>6521</v>
      </c>
      <c r="E38" s="445">
        <v>0</v>
      </c>
      <c r="F38" s="346">
        <f>IF(' 2. Checklist and Cert - 170'!$L$5=0,' 2. Checklist and Cert - 170'!$L$4,' 2. Checklist and Cert - 170'!$L$5)</f>
        <v>0</v>
      </c>
      <c r="G38" s="347">
        <f>(E38-I38)*F38</f>
        <v>0</v>
      </c>
      <c r="H38" s="349">
        <f>+(E38-G38-I38)</f>
        <v>0</v>
      </c>
      <c r="I38" s="453">
        <v>0</v>
      </c>
      <c r="J38" s="445">
        <v>0</v>
      </c>
      <c r="K38" s="129">
        <f t="shared" si="10"/>
        <v>0</v>
      </c>
      <c r="L38" s="526">
        <f t="shared" si="11"/>
        <v>0</v>
      </c>
      <c r="M38" s="522">
        <f t="shared" si="12"/>
        <v>0</v>
      </c>
      <c r="N38" s="449"/>
    </row>
    <row r="39" spans="1:14" ht="15" customHeight="1" x14ac:dyDescent="0.2">
      <c r="A39" s="353">
        <v>26</v>
      </c>
      <c r="B39" s="705" t="s">
        <v>14</v>
      </c>
      <c r="C39" s="706"/>
      <c r="D39" s="360">
        <v>6525</v>
      </c>
      <c r="E39" s="445">
        <v>0</v>
      </c>
      <c r="F39" s="346">
        <f>IF(' 2. Checklist and Cert - 170'!$L$5=0,' 2. Checklist and Cert - 170'!$L$4,' 2. Checklist and Cert - 170'!$L$5)</f>
        <v>0</v>
      </c>
      <c r="G39" s="347">
        <f>(E39-I39)*F39</f>
        <v>0</v>
      </c>
      <c r="H39" s="349">
        <f>+(E39-G39-I39)</f>
        <v>0</v>
      </c>
      <c r="I39" s="453">
        <v>0</v>
      </c>
      <c r="J39" s="445">
        <v>0</v>
      </c>
      <c r="K39" s="129">
        <f t="shared" si="10"/>
        <v>0</v>
      </c>
      <c r="L39" s="526">
        <f t="shared" si="11"/>
        <v>0</v>
      </c>
      <c r="M39" s="522">
        <f t="shared" si="12"/>
        <v>0</v>
      </c>
      <c r="N39" s="449"/>
    </row>
    <row r="40" spans="1:14" ht="15" customHeight="1" x14ac:dyDescent="0.2">
      <c r="A40" s="340">
        <v>27</v>
      </c>
      <c r="B40" s="705" t="s">
        <v>197</v>
      </c>
      <c r="C40" s="706"/>
      <c r="D40" s="342">
        <v>6530</v>
      </c>
      <c r="E40" s="445">
        <v>0</v>
      </c>
      <c r="F40" s="346">
        <f>IF(' 2. Checklist and Cert - 170'!$L$5=0,' 2. Checklist and Cert - 170'!$L$4,' 2. Checklist and Cert - 170'!$L$5)</f>
        <v>0</v>
      </c>
      <c r="G40" s="347">
        <f>(E40-I40)*F40</f>
        <v>0</v>
      </c>
      <c r="H40" s="349">
        <f>+(E40-G40-I40)</f>
        <v>0</v>
      </c>
      <c r="I40" s="453">
        <v>0</v>
      </c>
      <c r="J40" s="445">
        <v>0</v>
      </c>
      <c r="K40" s="129">
        <f t="shared" si="10"/>
        <v>0</v>
      </c>
      <c r="L40" s="526">
        <f t="shared" si="11"/>
        <v>0</v>
      </c>
      <c r="M40" s="522">
        <f t="shared" si="12"/>
        <v>0</v>
      </c>
      <c r="N40" s="449"/>
    </row>
    <row r="41" spans="1:14" ht="15" customHeight="1" x14ac:dyDescent="0.2">
      <c r="A41" s="340">
        <v>28</v>
      </c>
      <c r="B41" s="705" t="s">
        <v>192</v>
      </c>
      <c r="C41" s="706"/>
      <c r="D41" s="342">
        <v>6531</v>
      </c>
      <c r="E41" s="445">
        <v>0</v>
      </c>
      <c r="F41" s="346">
        <f>IF(' 2. Checklist and Cert - 170'!$L$5=0,' 2. Checklist and Cert - 170'!$L$4,' 2. Checklist and Cert - 170'!$L$5)</f>
        <v>0</v>
      </c>
      <c r="G41" s="347">
        <f>(E41-I41)*F41</f>
        <v>0</v>
      </c>
      <c r="H41" s="349">
        <f>+(E41-G41-I41)</f>
        <v>0</v>
      </c>
      <c r="I41" s="453">
        <v>0</v>
      </c>
      <c r="J41" s="445">
        <v>0</v>
      </c>
      <c r="K41" s="129">
        <f t="shared" si="10"/>
        <v>0</v>
      </c>
      <c r="L41" s="526">
        <f t="shared" si="11"/>
        <v>0</v>
      </c>
      <c r="M41" s="522">
        <f t="shared" si="12"/>
        <v>0</v>
      </c>
      <c r="N41" s="449"/>
    </row>
    <row r="42" spans="1:14" ht="15" customHeight="1" x14ac:dyDescent="0.2">
      <c r="A42" s="340">
        <v>29</v>
      </c>
      <c r="B42" s="705" t="s">
        <v>15</v>
      </c>
      <c r="C42" s="706"/>
      <c r="D42" s="342">
        <v>6546</v>
      </c>
      <c r="E42" s="445">
        <v>0</v>
      </c>
      <c r="F42" s="346">
        <f>IF(' 2. Checklist and Cert - 170'!$L$5=0,' 2. Checklist and Cert - 170'!$L$4,' 2. Checklist and Cert - 170'!$L$5)</f>
        <v>0</v>
      </c>
      <c r="G42" s="347">
        <f>(E42-I42)*F42</f>
        <v>0</v>
      </c>
      <c r="H42" s="349">
        <f>+(E42-G42-I42)</f>
        <v>0</v>
      </c>
      <c r="I42" s="453">
        <v>0</v>
      </c>
      <c r="J42" s="445">
        <v>0</v>
      </c>
      <c r="K42" s="129">
        <f t="shared" si="10"/>
        <v>0</v>
      </c>
      <c r="L42" s="526">
        <f t="shared" si="11"/>
        <v>0</v>
      </c>
      <c r="M42" s="522">
        <f t="shared" si="12"/>
        <v>0</v>
      </c>
      <c r="N42" s="449"/>
    </row>
    <row r="43" spans="1:14" ht="15" customHeight="1" x14ac:dyDescent="0.2">
      <c r="A43" s="340">
        <v>30</v>
      </c>
      <c r="B43" s="705" t="s">
        <v>16</v>
      </c>
      <c r="C43" s="706"/>
      <c r="D43" s="342">
        <v>6548</v>
      </c>
      <c r="E43" s="445">
        <v>0</v>
      </c>
      <c r="F43" s="346">
        <f>IF(' 2. Checklist and Cert - 170'!$L$5=0,' 2. Checklist and Cert - 170'!$L$4,' 2. Checklist and Cert - 170'!$L$5)</f>
        <v>0</v>
      </c>
      <c r="G43" s="347">
        <f t="shared" si="8"/>
        <v>0</v>
      </c>
      <c r="H43" s="349">
        <f t="shared" si="9"/>
        <v>0</v>
      </c>
      <c r="I43" s="453">
        <v>0</v>
      </c>
      <c r="J43" s="445">
        <v>0</v>
      </c>
      <c r="K43" s="129">
        <f t="shared" si="10"/>
        <v>0</v>
      </c>
      <c r="L43" s="526">
        <f t="shared" si="11"/>
        <v>0</v>
      </c>
      <c r="M43" s="522">
        <f t="shared" si="12"/>
        <v>0</v>
      </c>
      <c r="N43" s="449"/>
    </row>
    <row r="44" spans="1:14" ht="15" customHeight="1" x14ac:dyDescent="0.2">
      <c r="A44" s="353">
        <v>31</v>
      </c>
      <c r="B44" s="705" t="s">
        <v>193</v>
      </c>
      <c r="C44" s="706"/>
      <c r="D44" s="342">
        <v>6570</v>
      </c>
      <c r="E44" s="445">
        <v>0</v>
      </c>
      <c r="F44" s="346">
        <f>IF(' 2. Checklist and Cert - 170'!$L$5=0,' 2. Checklist and Cert - 170'!$L$4,' 2. Checklist and Cert - 170'!$L$5)</f>
        <v>0</v>
      </c>
      <c r="G44" s="347">
        <f t="shared" si="8"/>
        <v>0</v>
      </c>
      <c r="H44" s="349">
        <f t="shared" si="9"/>
        <v>0</v>
      </c>
      <c r="I44" s="453">
        <v>0</v>
      </c>
      <c r="J44" s="445">
        <v>0</v>
      </c>
      <c r="K44" s="129">
        <f t="shared" si="10"/>
        <v>0</v>
      </c>
      <c r="L44" s="526">
        <f t="shared" si="11"/>
        <v>0</v>
      </c>
      <c r="M44" s="522">
        <f t="shared" si="12"/>
        <v>0</v>
      </c>
      <c r="N44" s="449"/>
    </row>
    <row r="45" spans="1:14" ht="15" customHeight="1" x14ac:dyDescent="0.2">
      <c r="A45" s="353">
        <v>32</v>
      </c>
      <c r="B45" s="705" t="s">
        <v>198</v>
      </c>
      <c r="C45" s="706"/>
      <c r="D45" s="342">
        <v>6580</v>
      </c>
      <c r="E45" s="445">
        <v>0</v>
      </c>
      <c r="F45" s="346">
        <f>IF(' 2. Checklist and Cert - 170'!$L$5=0,' 2. Checklist and Cert - 170'!$L$4,' 2. Checklist and Cert - 170'!$L$5)</f>
        <v>0</v>
      </c>
      <c r="G45" s="347">
        <f>(E45-I45)*F45</f>
        <v>0</v>
      </c>
      <c r="H45" s="349">
        <f>+(E45-G45-I45)</f>
        <v>0</v>
      </c>
      <c r="I45" s="453">
        <v>0</v>
      </c>
      <c r="J45" s="445">
        <v>0</v>
      </c>
      <c r="K45" s="129">
        <f t="shared" si="10"/>
        <v>0</v>
      </c>
      <c r="L45" s="526">
        <f t="shared" si="11"/>
        <v>0</v>
      </c>
      <c r="M45" s="522">
        <f t="shared" si="12"/>
        <v>0</v>
      </c>
      <c r="N45" s="449"/>
    </row>
    <row r="46" spans="1:14" ht="15" customHeight="1" x14ac:dyDescent="0.2">
      <c r="A46" s="340">
        <v>33</v>
      </c>
      <c r="B46" s="711" t="s">
        <v>219</v>
      </c>
      <c r="C46" s="712"/>
      <c r="D46" s="342">
        <v>6590</v>
      </c>
      <c r="E46" s="47">
        <f>I107</f>
        <v>0</v>
      </c>
      <c r="F46" s="346">
        <f>IF(' 2. Checklist and Cert - 170'!$L$5=0,' 2. Checklist and Cert - 170'!$L$4,' 2. Checklist and Cert - 170'!$L$5)</f>
        <v>0</v>
      </c>
      <c r="G46" s="347">
        <f t="shared" si="8"/>
        <v>0</v>
      </c>
      <c r="H46" s="349">
        <f t="shared" si="9"/>
        <v>0</v>
      </c>
      <c r="I46" s="453">
        <v>0</v>
      </c>
      <c r="J46" s="445">
        <v>0</v>
      </c>
      <c r="K46" s="129">
        <f t="shared" si="10"/>
        <v>0</v>
      </c>
      <c r="L46" s="526">
        <f t="shared" si="11"/>
        <v>0</v>
      </c>
      <c r="M46" s="522">
        <f t="shared" si="12"/>
        <v>0</v>
      </c>
      <c r="N46" s="449"/>
    </row>
    <row r="47" spans="1:14" ht="15" customHeight="1" x14ac:dyDescent="0.2">
      <c r="A47" s="341">
        <v>34</v>
      </c>
      <c r="B47" s="714" t="s">
        <v>81</v>
      </c>
      <c r="C47" s="715"/>
      <c r="D47" s="343" t="s">
        <v>17</v>
      </c>
      <c r="E47" s="364">
        <f>SUM(E35:E46)</f>
        <v>0</v>
      </c>
      <c r="F47" s="80"/>
      <c r="G47" s="348">
        <f>SUM(G35:G46)</f>
        <v>0</v>
      </c>
      <c r="H47" s="350">
        <f>SUM(H35:H46)</f>
        <v>0</v>
      </c>
      <c r="I47" s="359">
        <f>SUM(I35:I46)</f>
        <v>0</v>
      </c>
      <c r="J47" s="45">
        <f>SUM(J35:J46)</f>
        <v>0</v>
      </c>
      <c r="K47" s="372">
        <f t="shared" si="10"/>
        <v>0</v>
      </c>
      <c r="L47" s="118">
        <f t="shared" si="11"/>
        <v>0</v>
      </c>
      <c r="M47" s="523">
        <f t="shared" si="12"/>
        <v>0</v>
      </c>
      <c r="N47" s="449"/>
    </row>
    <row r="48" spans="1:14" ht="15" customHeight="1" x14ac:dyDescent="0.2">
      <c r="A48" s="249"/>
      <c r="B48" s="707" t="s">
        <v>82</v>
      </c>
      <c r="C48" s="708"/>
      <c r="D48" s="20"/>
      <c r="E48" s="47"/>
      <c r="F48" s="78"/>
      <c r="G48" s="29"/>
      <c r="H48" s="44"/>
      <c r="I48" s="90"/>
      <c r="J48" s="47"/>
      <c r="K48" s="129"/>
      <c r="L48" s="527"/>
      <c r="M48" s="522"/>
      <c r="N48" s="161"/>
    </row>
    <row r="49" spans="1:14" ht="15" customHeight="1" x14ac:dyDescent="0.2">
      <c r="A49" s="340">
        <v>35</v>
      </c>
      <c r="B49" s="705" t="s">
        <v>18</v>
      </c>
      <c r="C49" s="706"/>
      <c r="D49" s="342">
        <v>6710</v>
      </c>
      <c r="E49" s="445">
        <v>0</v>
      </c>
      <c r="F49" s="346">
        <f>IF(' 2. Checklist and Cert - 170'!$L$5=0,' 2. Checklist and Cert - 170'!$L$4,' 2. Checklist and Cert - 170'!$L$5)</f>
        <v>0</v>
      </c>
      <c r="G49" s="347">
        <f t="shared" ref="G49:G55" si="13">(E49-I49)*F49</f>
        <v>0</v>
      </c>
      <c r="H49" s="349">
        <f t="shared" ref="H49:H55" si="14">+(E49-G49-I49)</f>
        <v>0</v>
      </c>
      <c r="I49" s="453">
        <v>0</v>
      </c>
      <c r="J49" s="445">
        <v>0</v>
      </c>
      <c r="K49" s="129">
        <f t="shared" ref="K49:K56" si="15">SUM(J49/8)*12</f>
        <v>0</v>
      </c>
      <c r="L49" s="526">
        <f t="shared" ref="L49:L56" si="16">E49-K49</f>
        <v>0</v>
      </c>
      <c r="M49" s="522">
        <f t="shared" ref="M49:M56" si="17">IFERROR(L49/K49,0)</f>
        <v>0</v>
      </c>
      <c r="N49" s="449"/>
    </row>
    <row r="50" spans="1:14" ht="15" customHeight="1" x14ac:dyDescent="0.2">
      <c r="A50" s="340">
        <v>36</v>
      </c>
      <c r="B50" s="705" t="s">
        <v>19</v>
      </c>
      <c r="C50" s="706"/>
      <c r="D50" s="342">
        <v>6711</v>
      </c>
      <c r="E50" s="480">
        <v>0</v>
      </c>
      <c r="F50" s="346">
        <f>IF(' 2. Checklist and Cert - 170'!$L$5=0,' 2. Checklist and Cert - 170'!$L$4,' 2. Checklist and Cert - 170'!$L$5)</f>
        <v>0</v>
      </c>
      <c r="G50" s="347">
        <f t="shared" si="13"/>
        <v>0</v>
      </c>
      <c r="H50" s="349">
        <f t="shared" si="14"/>
        <v>0</v>
      </c>
      <c r="I50" s="453">
        <v>0</v>
      </c>
      <c r="J50" s="445">
        <v>0</v>
      </c>
      <c r="K50" s="129">
        <f t="shared" si="15"/>
        <v>0</v>
      </c>
      <c r="L50" s="526">
        <f t="shared" si="16"/>
        <v>0</v>
      </c>
      <c r="M50" s="522">
        <f t="shared" si="17"/>
        <v>0</v>
      </c>
      <c r="N50" s="449"/>
    </row>
    <row r="51" spans="1:14" ht="15" customHeight="1" x14ac:dyDescent="0.2">
      <c r="A51" s="340">
        <v>37</v>
      </c>
      <c r="B51" s="705" t="s">
        <v>194</v>
      </c>
      <c r="C51" s="706"/>
      <c r="D51" s="342">
        <v>6720</v>
      </c>
      <c r="E51" s="480">
        <v>0</v>
      </c>
      <c r="F51" s="346">
        <f>IF(' 2. Checklist and Cert - 170'!$L$5=0,' 2. Checklist and Cert - 170'!$L$4,' 2. Checklist and Cert - 170'!$L$5)</f>
        <v>0</v>
      </c>
      <c r="G51" s="347">
        <f>(E51-I51)*F51</f>
        <v>0</v>
      </c>
      <c r="H51" s="349">
        <f>+(E51-G51-I51)</f>
        <v>0</v>
      </c>
      <c r="I51" s="453">
        <v>0</v>
      </c>
      <c r="J51" s="445">
        <v>0</v>
      </c>
      <c r="K51" s="129">
        <f t="shared" si="15"/>
        <v>0</v>
      </c>
      <c r="L51" s="526">
        <f t="shared" si="16"/>
        <v>0</v>
      </c>
      <c r="M51" s="522">
        <f t="shared" si="17"/>
        <v>0</v>
      </c>
      <c r="N51" s="449"/>
    </row>
    <row r="52" spans="1:14" ht="15" customHeight="1" x14ac:dyDescent="0.2">
      <c r="A52" s="340">
        <v>38</v>
      </c>
      <c r="B52" s="705" t="s">
        <v>20</v>
      </c>
      <c r="C52" s="706"/>
      <c r="D52" s="342">
        <v>6721</v>
      </c>
      <c r="E52" s="445">
        <v>0</v>
      </c>
      <c r="F52" s="346">
        <f>IF(' 2. Checklist and Cert - 170'!$L$5=0,' 2. Checklist and Cert - 170'!$L$4,' 2. Checklist and Cert - 170'!$L$5)</f>
        <v>0</v>
      </c>
      <c r="G52" s="347">
        <f t="shared" si="13"/>
        <v>0</v>
      </c>
      <c r="H52" s="349">
        <f t="shared" si="14"/>
        <v>0</v>
      </c>
      <c r="I52" s="453">
        <v>0</v>
      </c>
      <c r="J52" s="445">
        <v>0</v>
      </c>
      <c r="K52" s="129">
        <f t="shared" si="15"/>
        <v>0</v>
      </c>
      <c r="L52" s="526">
        <f t="shared" si="16"/>
        <v>0</v>
      </c>
      <c r="M52" s="522">
        <f t="shared" si="17"/>
        <v>0</v>
      </c>
      <c r="N52" s="449"/>
    </row>
    <row r="53" spans="1:14" ht="15" customHeight="1" x14ac:dyDescent="0.2">
      <c r="A53" s="340">
        <v>39</v>
      </c>
      <c r="B53" s="705" t="s">
        <v>21</v>
      </c>
      <c r="C53" s="706"/>
      <c r="D53" s="342">
        <v>6722</v>
      </c>
      <c r="E53" s="445">
        <v>0</v>
      </c>
      <c r="F53" s="346">
        <f>IF(' 2. Checklist and Cert - 170'!$L$5=0,' 2. Checklist and Cert - 170'!$L$4,' 2. Checklist and Cert - 170'!$L$5)</f>
        <v>0</v>
      </c>
      <c r="G53" s="347">
        <f t="shared" si="13"/>
        <v>0</v>
      </c>
      <c r="H53" s="349">
        <f t="shared" si="14"/>
        <v>0</v>
      </c>
      <c r="I53" s="453">
        <v>0</v>
      </c>
      <c r="J53" s="445">
        <v>0</v>
      </c>
      <c r="K53" s="129">
        <f t="shared" si="15"/>
        <v>0</v>
      </c>
      <c r="L53" s="526">
        <f t="shared" si="16"/>
        <v>0</v>
      </c>
      <c r="M53" s="522">
        <f t="shared" si="17"/>
        <v>0</v>
      </c>
      <c r="N53" s="449"/>
    </row>
    <row r="54" spans="1:14" ht="15" customHeight="1" x14ac:dyDescent="0.2">
      <c r="A54" s="340">
        <v>40</v>
      </c>
      <c r="B54" s="705" t="s">
        <v>195</v>
      </c>
      <c r="C54" s="706"/>
      <c r="D54" s="342">
        <v>6723</v>
      </c>
      <c r="E54" s="445">
        <v>0</v>
      </c>
      <c r="F54" s="346">
        <f>IF(' 2. Checklist and Cert - 170'!$L$5=0,' 2. Checklist and Cert - 170'!$L$4,' 2. Checklist and Cert - 170'!$L$5)</f>
        <v>0</v>
      </c>
      <c r="G54" s="347">
        <f t="shared" si="13"/>
        <v>0</v>
      </c>
      <c r="H54" s="349">
        <f t="shared" si="14"/>
        <v>0</v>
      </c>
      <c r="I54" s="453">
        <v>0</v>
      </c>
      <c r="J54" s="445">
        <v>0</v>
      </c>
      <c r="K54" s="129">
        <f t="shared" si="15"/>
        <v>0</v>
      </c>
      <c r="L54" s="526">
        <f t="shared" si="16"/>
        <v>0</v>
      </c>
      <c r="M54" s="522">
        <f t="shared" si="17"/>
        <v>0</v>
      </c>
      <c r="N54" s="449"/>
    </row>
    <row r="55" spans="1:14" ht="15" customHeight="1" x14ac:dyDescent="0.2">
      <c r="A55" s="340">
        <v>41</v>
      </c>
      <c r="B55" s="705" t="s">
        <v>196</v>
      </c>
      <c r="C55" s="706"/>
      <c r="D55" s="342">
        <v>6790</v>
      </c>
      <c r="E55" s="47">
        <f>I115</f>
        <v>0</v>
      </c>
      <c r="F55" s="346">
        <f>IF(' 2. Checklist and Cert - 170'!$L$5=0,' 2. Checklist and Cert - 170'!$L$4,' 2. Checklist and Cert - 170'!$L$5)</f>
        <v>0</v>
      </c>
      <c r="G55" s="347">
        <f t="shared" si="13"/>
        <v>0</v>
      </c>
      <c r="H55" s="349">
        <f t="shared" si="14"/>
        <v>0</v>
      </c>
      <c r="I55" s="453">
        <v>0</v>
      </c>
      <c r="J55" s="445">
        <v>0</v>
      </c>
      <c r="K55" s="129">
        <f t="shared" si="15"/>
        <v>0</v>
      </c>
      <c r="L55" s="526">
        <f t="shared" si="16"/>
        <v>0</v>
      </c>
      <c r="M55" s="522">
        <f t="shared" si="17"/>
        <v>0</v>
      </c>
      <c r="N55" s="449"/>
    </row>
    <row r="56" spans="1:14" ht="15" customHeight="1" x14ac:dyDescent="0.2">
      <c r="A56" s="341">
        <v>42</v>
      </c>
      <c r="B56" s="714" t="s">
        <v>83</v>
      </c>
      <c r="C56" s="715"/>
      <c r="D56" s="343" t="s">
        <v>22</v>
      </c>
      <c r="E56" s="364">
        <f>SUM(E49:E55)</f>
        <v>0</v>
      </c>
      <c r="F56" s="80"/>
      <c r="G56" s="348">
        <f>SUM(G49:G55)</f>
        <v>0</v>
      </c>
      <c r="H56" s="350">
        <f>SUM(H49:H55)</f>
        <v>0</v>
      </c>
      <c r="I56" s="359">
        <f>SUM(I49:I55)</f>
        <v>0</v>
      </c>
      <c r="J56" s="45">
        <f>SUM(J49:J55)</f>
        <v>0</v>
      </c>
      <c r="K56" s="372">
        <f t="shared" si="15"/>
        <v>0</v>
      </c>
      <c r="L56" s="118">
        <f t="shared" si="16"/>
        <v>0</v>
      </c>
      <c r="M56" s="523">
        <f t="shared" si="17"/>
        <v>0</v>
      </c>
      <c r="N56" s="449"/>
    </row>
    <row r="57" spans="1:14" ht="15" customHeight="1" x14ac:dyDescent="0.2">
      <c r="A57" s="248"/>
      <c r="B57" s="719" t="s">
        <v>265</v>
      </c>
      <c r="C57" s="720"/>
      <c r="D57" s="361">
        <v>6990</v>
      </c>
      <c r="E57" s="47"/>
      <c r="F57" s="78"/>
      <c r="G57" s="29"/>
      <c r="H57" s="44"/>
      <c r="I57" s="90"/>
      <c r="J57" s="47"/>
      <c r="K57" s="129"/>
      <c r="L57" s="527"/>
      <c r="M57" s="522"/>
      <c r="N57" s="161"/>
    </row>
    <row r="58" spans="1:14" ht="15" customHeight="1" x14ac:dyDescent="0.2">
      <c r="A58" s="340">
        <v>43</v>
      </c>
      <c r="B58" s="705" t="s">
        <v>254</v>
      </c>
      <c r="C58" s="706"/>
      <c r="D58" s="362">
        <f>IF(E58=0,0,IF(E59+E60=0,1,E58/(E59+E60)))</f>
        <v>0</v>
      </c>
      <c r="E58" s="445">
        <v>0</v>
      </c>
      <c r="F58" s="346">
        <f>IF(' 2. Checklist and Cert - 170'!$L$5=0,' 2. Checklist and Cert - 170'!$L$4,' 2. Checklist and Cert - 170'!$L$5)</f>
        <v>0</v>
      </c>
      <c r="G58" s="347">
        <f>(E58-I58)*F58</f>
        <v>0</v>
      </c>
      <c r="H58" s="349">
        <f>+(E58-G58-I58)</f>
        <v>0</v>
      </c>
      <c r="I58" s="453">
        <v>0</v>
      </c>
      <c r="J58" s="445">
        <v>0</v>
      </c>
      <c r="K58" s="129">
        <f t="shared" ref="K58:K64" si="18">SUM(J58/8)*12</f>
        <v>0</v>
      </c>
      <c r="L58" s="526">
        <f t="shared" ref="L58:L64" si="19">E58-K58</f>
        <v>0</v>
      </c>
      <c r="M58" s="522">
        <f t="shared" ref="M58:M64" si="20">IFERROR(L58/K58,0)</f>
        <v>0</v>
      </c>
      <c r="N58" s="449"/>
    </row>
    <row r="59" spans="1:14" ht="15" customHeight="1" x14ac:dyDescent="0.2">
      <c r="A59" s="340">
        <v>44</v>
      </c>
      <c r="B59" s="705" t="s">
        <v>257</v>
      </c>
      <c r="C59" s="706"/>
      <c r="D59" s="311"/>
      <c r="E59" s="445">
        <v>0</v>
      </c>
      <c r="F59" s="346">
        <f>IF(' 2. Checklist and Cert - 170'!$L$5=0,' 2. Checklist and Cert - 170'!$L$4,' 2. Checklist and Cert - 170'!$L$5)</f>
        <v>0</v>
      </c>
      <c r="G59" s="347">
        <f>(E59-I59)*F59</f>
        <v>0</v>
      </c>
      <c r="H59" s="349">
        <f>+(E59-G59-I59)</f>
        <v>0</v>
      </c>
      <c r="I59" s="453">
        <v>0</v>
      </c>
      <c r="J59" s="445">
        <v>0</v>
      </c>
      <c r="K59" s="129">
        <f t="shared" si="18"/>
        <v>0</v>
      </c>
      <c r="L59" s="526">
        <f t="shared" si="19"/>
        <v>0</v>
      </c>
      <c r="M59" s="522">
        <f t="shared" si="20"/>
        <v>0</v>
      </c>
      <c r="N59" s="449"/>
    </row>
    <row r="60" spans="1:14" ht="15" customHeight="1" x14ac:dyDescent="0.2">
      <c r="A60" s="340">
        <v>45</v>
      </c>
      <c r="B60" s="705" t="s">
        <v>258</v>
      </c>
      <c r="C60" s="706"/>
      <c r="D60" s="311"/>
      <c r="E60" s="445">
        <v>0</v>
      </c>
      <c r="F60" s="346">
        <f>IF(' 2. Checklist and Cert - 170'!$L$5=0,' 2. Checklist and Cert - 170'!$L$4,' 2. Checklist and Cert - 170'!$L$5)</f>
        <v>0</v>
      </c>
      <c r="G60" s="347">
        <f>(E60-I60)*F60</f>
        <v>0</v>
      </c>
      <c r="H60" s="349">
        <f>+(E60-G60-I60)</f>
        <v>0</v>
      </c>
      <c r="I60" s="453">
        <v>0</v>
      </c>
      <c r="J60" s="445">
        <v>0</v>
      </c>
      <c r="K60" s="129">
        <f t="shared" si="18"/>
        <v>0</v>
      </c>
      <c r="L60" s="526">
        <f t="shared" si="19"/>
        <v>0</v>
      </c>
      <c r="M60" s="522">
        <f t="shared" si="20"/>
        <v>0</v>
      </c>
      <c r="N60" s="449"/>
    </row>
    <row r="61" spans="1:14" ht="15" customHeight="1" x14ac:dyDescent="0.2">
      <c r="A61" s="340">
        <v>46</v>
      </c>
      <c r="B61" s="705" t="s">
        <v>270</v>
      </c>
      <c r="C61" s="706"/>
      <c r="D61" s="362">
        <f>IF(E61=0,0,E61/E63)</f>
        <v>0</v>
      </c>
      <c r="E61" s="445">
        <v>0</v>
      </c>
      <c r="F61" s="346">
        <f>IF(' 2. Checklist and Cert - 170'!$L$5=0,' 2. Checklist and Cert - 170'!$L$4,' 2. Checklist and Cert - 170'!$L$5)</f>
        <v>0</v>
      </c>
      <c r="G61" s="347">
        <f>(E61-I61)*F61</f>
        <v>0</v>
      </c>
      <c r="H61" s="349">
        <f>+(E61-G61-I61)</f>
        <v>0</v>
      </c>
      <c r="I61" s="453">
        <v>0</v>
      </c>
      <c r="J61" s="445">
        <v>0</v>
      </c>
      <c r="K61" s="129">
        <f t="shared" si="18"/>
        <v>0</v>
      </c>
      <c r="L61" s="526">
        <f t="shared" si="19"/>
        <v>0</v>
      </c>
      <c r="M61" s="522">
        <f t="shared" si="20"/>
        <v>0</v>
      </c>
      <c r="N61" s="449"/>
    </row>
    <row r="62" spans="1:14" ht="15" customHeight="1" x14ac:dyDescent="0.2">
      <c r="A62" s="340">
        <v>47</v>
      </c>
      <c r="B62" s="705" t="s">
        <v>267</v>
      </c>
      <c r="C62" s="706"/>
      <c r="D62" s="342">
        <v>6990</v>
      </c>
      <c r="E62" s="344">
        <f>I124</f>
        <v>0</v>
      </c>
      <c r="F62" s="346">
        <f>IF(' 2. Checklist and Cert - 170'!$L$5=0,' 2. Checklist and Cert - 170'!$L$4,' 2. Checklist and Cert - 170'!$L$5)</f>
        <v>0</v>
      </c>
      <c r="G62" s="347">
        <f>(E62-I62)*F62</f>
        <v>0</v>
      </c>
      <c r="H62" s="349">
        <f>+(E62-G62-I62)</f>
        <v>0</v>
      </c>
      <c r="I62" s="453">
        <v>0</v>
      </c>
      <c r="J62" s="445">
        <v>0</v>
      </c>
      <c r="K62" s="129">
        <f t="shared" si="18"/>
        <v>0</v>
      </c>
      <c r="L62" s="526">
        <f t="shared" si="19"/>
        <v>0</v>
      </c>
      <c r="M62" s="522">
        <f t="shared" si="20"/>
        <v>0</v>
      </c>
      <c r="N62" s="449"/>
    </row>
    <row r="63" spans="1:14" ht="15" customHeight="1" x14ac:dyDescent="0.2">
      <c r="A63" s="341">
        <v>48</v>
      </c>
      <c r="B63" s="736" t="s">
        <v>266</v>
      </c>
      <c r="C63" s="737"/>
      <c r="D63" s="343" t="s">
        <v>23</v>
      </c>
      <c r="E63" s="364">
        <f>SUM(E58:E62)</f>
        <v>0</v>
      </c>
      <c r="F63" s="80"/>
      <c r="G63" s="348">
        <f>SUM(G58:G62)</f>
        <v>0</v>
      </c>
      <c r="H63" s="350">
        <f>SUM(H58:H62)</f>
        <v>0</v>
      </c>
      <c r="I63" s="359">
        <f>SUM(I58:I62)</f>
        <v>0</v>
      </c>
      <c r="J63" s="45">
        <f>SUM(J58:J62)</f>
        <v>0</v>
      </c>
      <c r="K63" s="372">
        <f t="shared" si="18"/>
        <v>0</v>
      </c>
      <c r="L63" s="118">
        <f t="shared" si="19"/>
        <v>0</v>
      </c>
      <c r="M63" s="523">
        <f t="shared" si="20"/>
        <v>0</v>
      </c>
      <c r="N63" s="449"/>
    </row>
    <row r="64" spans="1:14" ht="15" customHeight="1" thickBot="1" x14ac:dyDescent="0.25">
      <c r="A64" s="354">
        <v>49</v>
      </c>
      <c r="B64" s="742" t="s">
        <v>92</v>
      </c>
      <c r="C64" s="743"/>
      <c r="D64" s="363" t="s">
        <v>24</v>
      </c>
      <c r="E64" s="365">
        <f>E27+E33+E47+E56+E63</f>
        <v>0</v>
      </c>
      <c r="F64" s="257"/>
      <c r="G64" s="366">
        <f>G27+G33+G47+G56+G63</f>
        <v>0</v>
      </c>
      <c r="H64" s="367">
        <f>H27+H33+H47+H56+H63</f>
        <v>0</v>
      </c>
      <c r="I64" s="368">
        <f>I27+I33+I47+I56+I63</f>
        <v>0</v>
      </c>
      <c r="J64" s="373">
        <f>J27+J33+J47+J56+J63</f>
        <v>0</v>
      </c>
      <c r="K64" s="490">
        <f t="shared" si="18"/>
        <v>0</v>
      </c>
      <c r="L64" s="528">
        <f t="shared" si="19"/>
        <v>0</v>
      </c>
      <c r="M64" s="524">
        <f t="shared" si="20"/>
        <v>0</v>
      </c>
      <c r="N64" s="482"/>
    </row>
    <row r="65" spans="1:15" ht="14.25" thickTop="1" thickBot="1" x14ac:dyDescent="0.25">
      <c r="A65" s="85"/>
      <c r="B65"/>
      <c r="C65"/>
      <c r="D65" s="86"/>
      <c r="E65"/>
      <c r="F65"/>
      <c r="G65"/>
      <c r="H65"/>
    </row>
    <row r="66" spans="1:15" customFormat="1" ht="19.5" customHeight="1" thickTop="1" x14ac:dyDescent="0.2">
      <c r="A66" s="328"/>
      <c r="B66" s="738" t="s">
        <v>177</v>
      </c>
      <c r="C66" s="739"/>
      <c r="D66" s="739"/>
      <c r="E66" s="739"/>
      <c r="F66" s="739"/>
      <c r="G66" s="739"/>
      <c r="H66" s="740"/>
      <c r="I66" s="738" t="s">
        <v>155</v>
      </c>
      <c r="J66" s="741"/>
      <c r="K66" s="492"/>
      <c r="L66" s="22"/>
      <c r="M66" s="22"/>
    </row>
    <row r="67" spans="1:15" customFormat="1" ht="25.5" customHeight="1" x14ac:dyDescent="0.2">
      <c r="A67" s="358" t="s">
        <v>145</v>
      </c>
      <c r="B67" s="733" t="s">
        <v>156</v>
      </c>
      <c r="C67" s="734"/>
      <c r="D67" s="734"/>
      <c r="E67" s="734"/>
      <c r="F67" s="734"/>
      <c r="G67" s="734"/>
      <c r="H67" s="734"/>
      <c r="I67" s="734"/>
      <c r="J67" s="735"/>
      <c r="K67" s="493"/>
      <c r="L67" s="22"/>
      <c r="M67" s="22"/>
    </row>
    <row r="68" spans="1:15" customFormat="1" ht="12.75" customHeight="1" x14ac:dyDescent="0.2">
      <c r="A68" s="352">
        <v>50</v>
      </c>
      <c r="B68" s="646"/>
      <c r="C68" s="647"/>
      <c r="D68" s="647"/>
      <c r="E68" s="647"/>
      <c r="F68" s="647"/>
      <c r="G68" s="647"/>
      <c r="H68" s="648"/>
      <c r="I68" s="640"/>
      <c r="J68" s="641"/>
      <c r="K68" s="381"/>
      <c r="L68" s="22"/>
      <c r="M68" s="22"/>
    </row>
    <row r="69" spans="1:15" customFormat="1" ht="12.75" customHeight="1" x14ac:dyDescent="0.2">
      <c r="A69" s="340">
        <v>51</v>
      </c>
      <c r="B69" s="646"/>
      <c r="C69" s="647"/>
      <c r="D69" s="647"/>
      <c r="E69" s="647"/>
      <c r="F69" s="647"/>
      <c r="G69" s="647"/>
      <c r="H69" s="648"/>
      <c r="I69" s="640"/>
      <c r="J69" s="641"/>
      <c r="K69" s="381"/>
      <c r="L69" s="22"/>
      <c r="M69" s="22"/>
      <c r="O69" t="s">
        <v>321</v>
      </c>
    </row>
    <row r="70" spans="1:15" customFormat="1" ht="12.75" customHeight="1" x14ac:dyDescent="0.2">
      <c r="A70" s="340">
        <v>52</v>
      </c>
      <c r="B70" s="646"/>
      <c r="C70" s="647"/>
      <c r="D70" s="647"/>
      <c r="E70" s="647"/>
      <c r="F70" s="647"/>
      <c r="G70" s="647"/>
      <c r="H70" s="648"/>
      <c r="I70" s="640"/>
      <c r="J70" s="641"/>
      <c r="K70" s="381"/>
      <c r="L70" s="22"/>
      <c r="M70" s="22"/>
    </row>
    <row r="71" spans="1:15" customFormat="1" ht="12.75" customHeight="1" x14ac:dyDescent="0.2">
      <c r="A71" s="340">
        <v>53</v>
      </c>
      <c r="B71" s="646"/>
      <c r="C71" s="647"/>
      <c r="D71" s="647"/>
      <c r="E71" s="647"/>
      <c r="F71" s="647"/>
      <c r="G71" s="647"/>
      <c r="H71" s="648"/>
      <c r="I71" s="640"/>
      <c r="J71" s="641"/>
      <c r="K71" s="381"/>
      <c r="L71" s="22"/>
      <c r="M71" s="22"/>
    </row>
    <row r="72" spans="1:15" customFormat="1" ht="12.75" customHeight="1" x14ac:dyDescent="0.2">
      <c r="A72" s="340">
        <v>54</v>
      </c>
      <c r="B72" s="646"/>
      <c r="C72" s="647"/>
      <c r="D72" s="647"/>
      <c r="E72" s="647"/>
      <c r="F72" s="647"/>
      <c r="G72" s="647"/>
      <c r="H72" s="648"/>
      <c r="I72" s="640"/>
      <c r="J72" s="641"/>
      <c r="K72" s="381"/>
      <c r="L72" s="22"/>
      <c r="M72" s="22"/>
    </row>
    <row r="73" spans="1:15" customFormat="1" ht="12.75" customHeight="1" x14ac:dyDescent="0.2">
      <c r="A73" s="340">
        <v>55</v>
      </c>
      <c r="B73" s="646"/>
      <c r="C73" s="647"/>
      <c r="D73" s="647"/>
      <c r="E73" s="647"/>
      <c r="F73" s="647"/>
      <c r="G73" s="647"/>
      <c r="H73" s="648"/>
      <c r="I73" s="640"/>
      <c r="J73" s="641"/>
      <c r="K73" s="381"/>
      <c r="L73" s="22"/>
      <c r="M73" s="22"/>
    </row>
    <row r="74" spans="1:15" customFormat="1" ht="12.75" customHeight="1" x14ac:dyDescent="0.2">
      <c r="A74" s="340">
        <v>56</v>
      </c>
      <c r="B74" s="646"/>
      <c r="C74" s="647"/>
      <c r="D74" s="647"/>
      <c r="E74" s="647"/>
      <c r="F74" s="647"/>
      <c r="G74" s="647"/>
      <c r="H74" s="648"/>
      <c r="I74" s="640"/>
      <c r="J74" s="641"/>
      <c r="K74" s="381"/>
      <c r="L74" s="22"/>
      <c r="M74" s="22"/>
    </row>
    <row r="75" spans="1:15" customFormat="1" ht="12.75" customHeight="1" x14ac:dyDescent="0.2">
      <c r="A75" s="340">
        <v>57</v>
      </c>
      <c r="B75" s="646"/>
      <c r="C75" s="647"/>
      <c r="D75" s="647"/>
      <c r="E75" s="647"/>
      <c r="F75" s="647"/>
      <c r="G75" s="647"/>
      <c r="H75" s="648"/>
      <c r="I75" s="640"/>
      <c r="J75" s="641"/>
      <c r="K75" s="381"/>
      <c r="L75" s="22"/>
      <c r="M75" s="22"/>
    </row>
    <row r="76" spans="1:15" customFormat="1" ht="12.75" customHeight="1" x14ac:dyDescent="0.2">
      <c r="A76" s="340">
        <v>58</v>
      </c>
      <c r="B76" s="646"/>
      <c r="C76" s="647"/>
      <c r="D76" s="647"/>
      <c r="E76" s="647"/>
      <c r="F76" s="647"/>
      <c r="G76" s="647"/>
      <c r="H76" s="648"/>
      <c r="I76" s="640"/>
      <c r="J76" s="641"/>
      <c r="K76" s="381"/>
      <c r="L76" s="22"/>
      <c r="M76" s="22"/>
    </row>
    <row r="77" spans="1:15" customFormat="1" ht="12.75" customHeight="1" x14ac:dyDescent="0.2">
      <c r="A77" s="340">
        <v>59</v>
      </c>
      <c r="B77" s="646"/>
      <c r="C77" s="647"/>
      <c r="D77" s="647"/>
      <c r="E77" s="647"/>
      <c r="F77" s="647"/>
      <c r="G77" s="647"/>
      <c r="H77" s="648"/>
      <c r="I77" s="640"/>
      <c r="J77" s="641"/>
      <c r="K77" s="381"/>
      <c r="L77" s="22"/>
      <c r="M77" s="22"/>
    </row>
    <row r="78" spans="1:15" customFormat="1" ht="12.75" customHeight="1" x14ac:dyDescent="0.2">
      <c r="A78" s="340">
        <v>60</v>
      </c>
      <c r="B78" s="646"/>
      <c r="C78" s="647"/>
      <c r="D78" s="647"/>
      <c r="E78" s="647"/>
      <c r="F78" s="647"/>
      <c r="G78" s="647"/>
      <c r="H78" s="648"/>
      <c r="I78" s="640"/>
      <c r="J78" s="641"/>
      <c r="K78" s="381"/>
      <c r="L78" s="22"/>
      <c r="M78" s="22"/>
    </row>
    <row r="79" spans="1:15" customFormat="1" ht="12.75" customHeight="1" x14ac:dyDescent="0.2">
      <c r="A79" s="340">
        <v>61</v>
      </c>
      <c r="B79" s="646"/>
      <c r="C79" s="647"/>
      <c r="D79" s="647"/>
      <c r="E79" s="647"/>
      <c r="F79" s="647"/>
      <c r="G79" s="647"/>
      <c r="H79" s="648"/>
      <c r="I79" s="640"/>
      <c r="J79" s="641"/>
      <c r="K79" s="381"/>
      <c r="L79" s="22"/>
      <c r="M79" s="22"/>
    </row>
    <row r="80" spans="1:15" customFormat="1" ht="12.75" customHeight="1" x14ac:dyDescent="0.2">
      <c r="A80" s="340">
        <v>62</v>
      </c>
      <c r="B80" s="646"/>
      <c r="C80" s="647"/>
      <c r="D80" s="647"/>
      <c r="E80" s="647"/>
      <c r="F80" s="647"/>
      <c r="G80" s="647"/>
      <c r="H80" s="648"/>
      <c r="I80" s="640"/>
      <c r="J80" s="641"/>
      <c r="K80" s="381"/>
      <c r="L80" s="22"/>
      <c r="M80" s="22"/>
    </row>
    <row r="81" spans="1:13" customFormat="1" ht="12.75" customHeight="1" x14ac:dyDescent="0.2">
      <c r="A81" s="340">
        <v>63</v>
      </c>
      <c r="B81" s="646"/>
      <c r="C81" s="647"/>
      <c r="D81" s="647"/>
      <c r="E81" s="647"/>
      <c r="F81" s="647"/>
      <c r="G81" s="647"/>
      <c r="H81" s="648"/>
      <c r="I81" s="640"/>
      <c r="J81" s="641"/>
      <c r="K81" s="381"/>
      <c r="L81" s="22"/>
      <c r="M81" s="22"/>
    </row>
    <row r="82" spans="1:13" customFormat="1" ht="12.75" customHeight="1" x14ac:dyDescent="0.2">
      <c r="A82" s="340">
        <v>64</v>
      </c>
      <c r="B82" s="646"/>
      <c r="C82" s="647"/>
      <c r="D82" s="647"/>
      <c r="E82" s="647"/>
      <c r="F82" s="647"/>
      <c r="G82" s="647"/>
      <c r="H82" s="648"/>
      <c r="I82" s="640"/>
      <c r="J82" s="641"/>
      <c r="K82" s="381"/>
      <c r="L82" s="22"/>
      <c r="M82" s="22"/>
    </row>
    <row r="83" spans="1:13" customFormat="1" ht="12.75" customHeight="1" x14ac:dyDescent="0.2">
      <c r="A83" s="340">
        <v>65</v>
      </c>
      <c r="B83" s="646"/>
      <c r="C83" s="647"/>
      <c r="D83" s="647"/>
      <c r="E83" s="647"/>
      <c r="F83" s="647"/>
      <c r="G83" s="647"/>
      <c r="H83" s="648"/>
      <c r="I83" s="640"/>
      <c r="J83" s="641"/>
      <c r="K83" s="381"/>
      <c r="L83" s="22"/>
      <c r="M83" s="22"/>
    </row>
    <row r="84" spans="1:13" customFormat="1" ht="12.75" customHeight="1" x14ac:dyDescent="0.2">
      <c r="A84" s="341">
        <v>66</v>
      </c>
      <c r="B84" s="646"/>
      <c r="C84" s="647"/>
      <c r="D84" s="647"/>
      <c r="E84" s="647"/>
      <c r="F84" s="647"/>
      <c r="G84" s="647"/>
      <c r="H84" s="648"/>
      <c r="I84" s="640"/>
      <c r="J84" s="641"/>
      <c r="K84" s="381"/>
      <c r="L84" s="22"/>
      <c r="M84" s="22"/>
    </row>
    <row r="85" spans="1:13" customFormat="1" ht="12.75" customHeight="1" x14ac:dyDescent="0.2">
      <c r="A85" s="340">
        <v>67</v>
      </c>
      <c r="B85" s="646"/>
      <c r="C85" s="647"/>
      <c r="D85" s="647"/>
      <c r="E85" s="647"/>
      <c r="F85" s="647"/>
      <c r="G85" s="647"/>
      <c r="H85" s="648"/>
      <c r="I85" s="640"/>
      <c r="J85" s="641"/>
      <c r="K85" s="381"/>
      <c r="L85" s="22"/>
      <c r="M85" s="22"/>
    </row>
    <row r="86" spans="1:13" customFormat="1" ht="15" customHeight="1" thickBot="1" x14ac:dyDescent="0.25">
      <c r="A86" s="340">
        <v>68</v>
      </c>
      <c r="B86" s="723" t="s">
        <v>159</v>
      </c>
      <c r="C86" s="724"/>
      <c r="D86" s="724"/>
      <c r="E86" s="724"/>
      <c r="F86" s="724"/>
      <c r="G86" s="724"/>
      <c r="H86" s="725"/>
      <c r="I86" s="726">
        <f>SUM(I68:J85)</f>
        <v>0</v>
      </c>
      <c r="J86" s="727"/>
      <c r="K86" s="494"/>
      <c r="L86" s="22"/>
      <c r="M86" s="22"/>
    </row>
    <row r="87" spans="1:13" customFormat="1" ht="18.75" customHeight="1" x14ac:dyDescent="0.2">
      <c r="A87" s="249"/>
      <c r="B87" s="716"/>
      <c r="C87" s="717"/>
      <c r="D87" s="717"/>
      <c r="E87" s="717"/>
      <c r="F87" s="717"/>
      <c r="G87" s="717"/>
      <c r="H87" s="717"/>
      <c r="I87" s="717"/>
      <c r="J87" s="718"/>
      <c r="K87" s="495"/>
      <c r="L87" s="22"/>
      <c r="M87" s="22"/>
    </row>
    <row r="88" spans="1:13" customFormat="1" ht="15" customHeight="1" x14ac:dyDescent="0.2">
      <c r="A88" s="249"/>
      <c r="B88" s="733" t="s">
        <v>157</v>
      </c>
      <c r="C88" s="734"/>
      <c r="D88" s="734"/>
      <c r="E88" s="734"/>
      <c r="F88" s="734"/>
      <c r="G88" s="734"/>
      <c r="H88" s="734"/>
      <c r="I88" s="734"/>
      <c r="J88" s="735"/>
      <c r="K88" s="493"/>
      <c r="L88" s="22"/>
      <c r="M88" s="22"/>
    </row>
    <row r="89" spans="1:13" customFormat="1" ht="12.75" customHeight="1" x14ac:dyDescent="0.2">
      <c r="A89" s="340">
        <v>69</v>
      </c>
      <c r="B89" s="646"/>
      <c r="C89" s="647"/>
      <c r="D89" s="647"/>
      <c r="E89" s="647"/>
      <c r="F89" s="647"/>
      <c r="G89" s="647"/>
      <c r="H89" s="648"/>
      <c r="I89" s="640"/>
      <c r="J89" s="641"/>
      <c r="K89" s="381"/>
      <c r="L89" s="22"/>
      <c r="M89" s="22"/>
    </row>
    <row r="90" spans="1:13" customFormat="1" ht="12.75" customHeight="1" x14ac:dyDescent="0.2">
      <c r="A90" s="355">
        <v>70</v>
      </c>
      <c r="B90" s="646"/>
      <c r="C90" s="647"/>
      <c r="D90" s="647"/>
      <c r="E90" s="647"/>
      <c r="F90" s="647"/>
      <c r="G90" s="647"/>
      <c r="H90" s="648"/>
      <c r="I90" s="640"/>
      <c r="J90" s="641"/>
      <c r="K90" s="381"/>
      <c r="L90" s="22"/>
      <c r="M90" s="22"/>
    </row>
    <row r="91" spans="1:13" customFormat="1" ht="12.75" customHeight="1" x14ac:dyDescent="0.2">
      <c r="A91" s="355">
        <v>71</v>
      </c>
      <c r="B91" s="646"/>
      <c r="C91" s="647"/>
      <c r="D91" s="647"/>
      <c r="E91" s="647"/>
      <c r="F91" s="647"/>
      <c r="G91" s="647"/>
      <c r="H91" s="648"/>
      <c r="I91" s="640"/>
      <c r="J91" s="641"/>
      <c r="K91" s="381"/>
      <c r="L91" s="22"/>
      <c r="M91" s="22"/>
    </row>
    <row r="92" spans="1:13" customFormat="1" ht="12.75" customHeight="1" x14ac:dyDescent="0.2">
      <c r="A92" s="355">
        <v>72</v>
      </c>
      <c r="B92" s="646"/>
      <c r="C92" s="647"/>
      <c r="D92" s="647"/>
      <c r="E92" s="647"/>
      <c r="F92" s="647"/>
      <c r="G92" s="647"/>
      <c r="H92" s="648"/>
      <c r="I92" s="640"/>
      <c r="J92" s="641"/>
      <c r="K92" s="381"/>
      <c r="L92" s="22"/>
      <c r="M92" s="22"/>
    </row>
    <row r="93" spans="1:13" customFormat="1" ht="12.75" customHeight="1" x14ac:dyDescent="0.2">
      <c r="A93" s="355">
        <v>73</v>
      </c>
      <c r="B93" s="646"/>
      <c r="C93" s="647"/>
      <c r="D93" s="647"/>
      <c r="E93" s="647"/>
      <c r="F93" s="647"/>
      <c r="G93" s="647"/>
      <c r="H93" s="648"/>
      <c r="I93" s="640"/>
      <c r="J93" s="641"/>
      <c r="K93" s="381"/>
      <c r="L93" s="22"/>
      <c r="M93" s="22"/>
    </row>
    <row r="94" spans="1:13" customFormat="1" ht="12.75" customHeight="1" x14ac:dyDescent="0.2">
      <c r="A94" s="355">
        <v>74</v>
      </c>
      <c r="B94" s="646"/>
      <c r="C94" s="647"/>
      <c r="D94" s="647"/>
      <c r="E94" s="647"/>
      <c r="F94" s="647"/>
      <c r="G94" s="647"/>
      <c r="H94" s="648"/>
      <c r="I94" s="640"/>
      <c r="J94" s="641"/>
      <c r="K94" s="381"/>
      <c r="L94" s="22"/>
      <c r="M94" s="22"/>
    </row>
    <row r="95" spans="1:13" customFormat="1" ht="12.75" customHeight="1" x14ac:dyDescent="0.2">
      <c r="A95" s="355">
        <v>75</v>
      </c>
      <c r="B95" s="646"/>
      <c r="C95" s="647"/>
      <c r="D95" s="647"/>
      <c r="E95" s="647"/>
      <c r="F95" s="647"/>
      <c r="G95" s="647"/>
      <c r="H95" s="648"/>
      <c r="I95" s="640"/>
      <c r="J95" s="641"/>
      <c r="K95" s="381"/>
      <c r="L95" s="22"/>
      <c r="M95" s="22"/>
    </row>
    <row r="96" spans="1:13" customFormat="1" ht="12.75" customHeight="1" x14ac:dyDescent="0.2">
      <c r="A96" s="355">
        <v>76</v>
      </c>
      <c r="B96" s="646"/>
      <c r="C96" s="647"/>
      <c r="D96" s="647"/>
      <c r="E96" s="647"/>
      <c r="F96" s="647"/>
      <c r="G96" s="647"/>
      <c r="H96" s="648"/>
      <c r="I96" s="640"/>
      <c r="J96" s="641"/>
      <c r="K96" s="381"/>
      <c r="L96" s="22"/>
      <c r="M96" s="22"/>
    </row>
    <row r="97" spans="1:13" customFormat="1" ht="12.75" customHeight="1" x14ac:dyDescent="0.2">
      <c r="A97" s="355">
        <v>77</v>
      </c>
      <c r="B97" s="646"/>
      <c r="C97" s="647"/>
      <c r="D97" s="647"/>
      <c r="E97" s="647"/>
      <c r="F97" s="647"/>
      <c r="G97" s="647"/>
      <c r="H97" s="648"/>
      <c r="I97" s="640"/>
      <c r="J97" s="641"/>
      <c r="K97" s="381"/>
      <c r="L97" s="22"/>
      <c r="M97" s="22"/>
    </row>
    <row r="98" spans="1:13" customFormat="1" ht="12.75" customHeight="1" x14ac:dyDescent="0.2">
      <c r="A98" s="355">
        <v>78</v>
      </c>
      <c r="B98" s="646"/>
      <c r="C98" s="647"/>
      <c r="D98" s="647"/>
      <c r="E98" s="647"/>
      <c r="F98" s="647"/>
      <c r="G98" s="647"/>
      <c r="H98" s="648"/>
      <c r="I98" s="640"/>
      <c r="J98" s="641"/>
      <c r="K98" s="381"/>
      <c r="L98" s="22"/>
      <c r="M98" s="22"/>
    </row>
    <row r="99" spans="1:13" customFormat="1" ht="12.75" customHeight="1" x14ac:dyDescent="0.2">
      <c r="A99" s="355">
        <v>79</v>
      </c>
      <c r="B99" s="646"/>
      <c r="C99" s="647"/>
      <c r="D99" s="647"/>
      <c r="E99" s="647"/>
      <c r="F99" s="647"/>
      <c r="G99" s="647"/>
      <c r="H99" s="648"/>
      <c r="I99" s="640"/>
      <c r="J99" s="641"/>
      <c r="K99" s="381"/>
      <c r="L99" s="22"/>
      <c r="M99" s="22"/>
    </row>
    <row r="100" spans="1:13" customFormat="1" ht="12.75" customHeight="1" x14ac:dyDescent="0.2">
      <c r="A100" s="355">
        <v>80</v>
      </c>
      <c r="B100" s="646"/>
      <c r="C100" s="647"/>
      <c r="D100" s="647"/>
      <c r="E100" s="647"/>
      <c r="F100" s="647"/>
      <c r="G100" s="647"/>
      <c r="H100" s="648"/>
      <c r="I100" s="640"/>
      <c r="J100" s="641"/>
      <c r="K100" s="381"/>
      <c r="L100" s="22"/>
      <c r="M100" s="22"/>
    </row>
    <row r="101" spans="1:13" customFormat="1" ht="12.75" customHeight="1" x14ac:dyDescent="0.2">
      <c r="A101" s="355">
        <v>81</v>
      </c>
      <c r="B101" s="646"/>
      <c r="C101" s="647"/>
      <c r="D101" s="647"/>
      <c r="E101" s="647"/>
      <c r="F101" s="647"/>
      <c r="G101" s="647"/>
      <c r="H101" s="648"/>
      <c r="I101" s="640"/>
      <c r="J101" s="641"/>
      <c r="K101" s="381"/>
      <c r="L101" s="22"/>
      <c r="M101" s="22"/>
    </row>
    <row r="102" spans="1:13" customFormat="1" ht="12.75" customHeight="1" x14ac:dyDescent="0.2">
      <c r="A102" s="355">
        <v>82</v>
      </c>
      <c r="B102" s="646"/>
      <c r="C102" s="647"/>
      <c r="D102" s="647"/>
      <c r="E102" s="647"/>
      <c r="F102" s="647"/>
      <c r="G102" s="647"/>
      <c r="H102" s="648"/>
      <c r="I102" s="640"/>
      <c r="J102" s="641"/>
      <c r="K102" s="381"/>
      <c r="L102" s="22"/>
      <c r="M102" s="22"/>
    </row>
    <row r="103" spans="1:13" customFormat="1" ht="12.75" customHeight="1" x14ac:dyDescent="0.2">
      <c r="A103" s="355">
        <v>83</v>
      </c>
      <c r="B103" s="646"/>
      <c r="C103" s="647"/>
      <c r="D103" s="647"/>
      <c r="E103" s="647"/>
      <c r="F103" s="647"/>
      <c r="G103" s="647"/>
      <c r="H103" s="648"/>
      <c r="I103" s="640"/>
      <c r="J103" s="641"/>
      <c r="K103" s="381"/>
      <c r="L103" s="22"/>
      <c r="M103" s="22"/>
    </row>
    <row r="104" spans="1:13" customFormat="1" ht="12.75" customHeight="1" x14ac:dyDescent="0.2">
      <c r="A104" s="355">
        <v>84</v>
      </c>
      <c r="B104" s="646"/>
      <c r="C104" s="647"/>
      <c r="D104" s="647"/>
      <c r="E104" s="647"/>
      <c r="F104" s="647"/>
      <c r="G104" s="647"/>
      <c r="H104" s="648"/>
      <c r="I104" s="640"/>
      <c r="J104" s="641"/>
      <c r="K104" s="381"/>
      <c r="L104" s="22"/>
      <c r="M104" s="22"/>
    </row>
    <row r="105" spans="1:13" customFormat="1" ht="12.75" customHeight="1" x14ac:dyDescent="0.2">
      <c r="A105" s="355">
        <v>85</v>
      </c>
      <c r="B105" s="646"/>
      <c r="C105" s="647"/>
      <c r="D105" s="647"/>
      <c r="E105" s="647"/>
      <c r="F105" s="647"/>
      <c r="G105" s="647"/>
      <c r="H105" s="648"/>
      <c r="I105" s="640"/>
      <c r="J105" s="641"/>
      <c r="K105" s="381"/>
      <c r="L105" s="22"/>
      <c r="M105" s="22"/>
    </row>
    <row r="106" spans="1:13" customFormat="1" ht="12.75" customHeight="1" x14ac:dyDescent="0.2">
      <c r="A106" s="355">
        <v>86</v>
      </c>
      <c r="B106" s="646"/>
      <c r="C106" s="647"/>
      <c r="D106" s="647"/>
      <c r="E106" s="647"/>
      <c r="F106" s="647"/>
      <c r="G106" s="647"/>
      <c r="H106" s="648"/>
      <c r="I106" s="640"/>
      <c r="J106" s="641"/>
      <c r="K106" s="381"/>
      <c r="L106" s="22"/>
      <c r="M106" s="22"/>
    </row>
    <row r="107" spans="1:13" customFormat="1" ht="15" customHeight="1" thickBot="1" x14ac:dyDescent="0.25">
      <c r="A107" s="356">
        <v>87</v>
      </c>
      <c r="B107" s="723" t="s">
        <v>160</v>
      </c>
      <c r="C107" s="724"/>
      <c r="D107" s="724"/>
      <c r="E107" s="724"/>
      <c r="F107" s="724"/>
      <c r="G107" s="724"/>
      <c r="H107" s="725"/>
      <c r="I107" s="726">
        <f>SUM(I89:J106)</f>
        <v>0</v>
      </c>
      <c r="J107" s="727"/>
      <c r="K107" s="494"/>
      <c r="L107" s="22"/>
      <c r="M107" s="22"/>
    </row>
    <row r="108" spans="1:13" customFormat="1" ht="18.75" customHeight="1" x14ac:dyDescent="0.2">
      <c r="A108" s="258"/>
      <c r="B108" s="626"/>
      <c r="C108" s="627"/>
      <c r="D108" s="627"/>
      <c r="E108" s="627"/>
      <c r="F108" s="627"/>
      <c r="G108" s="627"/>
      <c r="H108" s="627"/>
      <c r="I108" s="627"/>
      <c r="J108" s="628"/>
      <c r="K108" s="380"/>
      <c r="L108" s="22"/>
      <c r="M108" s="22"/>
    </row>
    <row r="109" spans="1:13" customFormat="1" ht="15" customHeight="1" x14ac:dyDescent="0.2">
      <c r="A109" s="260"/>
      <c r="B109" s="733" t="s">
        <v>199</v>
      </c>
      <c r="C109" s="734"/>
      <c r="D109" s="734"/>
      <c r="E109" s="734"/>
      <c r="F109" s="734"/>
      <c r="G109" s="734"/>
      <c r="H109" s="734"/>
      <c r="I109" s="734"/>
      <c r="J109" s="735"/>
      <c r="K109" s="493"/>
      <c r="L109" s="22"/>
      <c r="M109" s="22"/>
    </row>
    <row r="110" spans="1:13" customFormat="1" ht="12.75" customHeight="1" x14ac:dyDescent="0.2">
      <c r="A110" s="355">
        <v>88</v>
      </c>
      <c r="B110" s="646"/>
      <c r="C110" s="647"/>
      <c r="D110" s="647"/>
      <c r="E110" s="647"/>
      <c r="F110" s="647"/>
      <c r="G110" s="647"/>
      <c r="H110" s="648"/>
      <c r="I110" s="640"/>
      <c r="J110" s="641"/>
      <c r="K110" s="381"/>
      <c r="L110" s="22"/>
      <c r="M110" s="22"/>
    </row>
    <row r="111" spans="1:13" customFormat="1" ht="12.75" customHeight="1" x14ac:dyDescent="0.2">
      <c r="A111" s="355">
        <v>89</v>
      </c>
      <c r="B111" s="646"/>
      <c r="C111" s="647"/>
      <c r="D111" s="647"/>
      <c r="E111" s="647"/>
      <c r="F111" s="647"/>
      <c r="G111" s="647"/>
      <c r="H111" s="648"/>
      <c r="I111" s="640"/>
      <c r="J111" s="641"/>
      <c r="K111" s="381"/>
      <c r="L111" s="22"/>
      <c r="M111" s="22"/>
    </row>
    <row r="112" spans="1:13" customFormat="1" ht="12.75" customHeight="1" x14ac:dyDescent="0.2">
      <c r="A112" s="355">
        <v>90</v>
      </c>
      <c r="B112" s="646"/>
      <c r="C112" s="647"/>
      <c r="D112" s="647"/>
      <c r="E112" s="647"/>
      <c r="F112" s="647"/>
      <c r="G112" s="647"/>
      <c r="H112" s="648"/>
      <c r="I112" s="640"/>
      <c r="J112" s="641"/>
      <c r="K112" s="381"/>
      <c r="L112" s="22"/>
      <c r="M112" s="22"/>
    </row>
    <row r="113" spans="1:13" customFormat="1" ht="12.75" customHeight="1" x14ac:dyDescent="0.2">
      <c r="A113" s="355">
        <v>91</v>
      </c>
      <c r="B113" s="646"/>
      <c r="C113" s="647"/>
      <c r="D113" s="647"/>
      <c r="E113" s="647"/>
      <c r="F113" s="647"/>
      <c r="G113" s="647"/>
      <c r="H113" s="648"/>
      <c r="I113" s="640"/>
      <c r="J113" s="641"/>
      <c r="K113" s="381"/>
      <c r="L113" s="22"/>
      <c r="M113" s="22"/>
    </row>
    <row r="114" spans="1:13" customFormat="1" ht="12.75" customHeight="1" x14ac:dyDescent="0.2">
      <c r="A114" s="355">
        <v>92</v>
      </c>
      <c r="B114" s="646"/>
      <c r="C114" s="647"/>
      <c r="D114" s="647"/>
      <c r="E114" s="647"/>
      <c r="F114" s="647"/>
      <c r="G114" s="647"/>
      <c r="H114" s="648"/>
      <c r="I114" s="640"/>
      <c r="J114" s="641"/>
      <c r="K114" s="381"/>
      <c r="L114" s="22"/>
      <c r="M114" s="22"/>
    </row>
    <row r="115" spans="1:13" customFormat="1" ht="15" customHeight="1" thickBot="1" x14ac:dyDescent="0.25">
      <c r="A115" s="356">
        <v>93</v>
      </c>
      <c r="B115" s="723" t="s">
        <v>200</v>
      </c>
      <c r="C115" s="724"/>
      <c r="D115" s="724"/>
      <c r="E115" s="724"/>
      <c r="F115" s="724"/>
      <c r="G115" s="724"/>
      <c r="H115" s="725"/>
      <c r="I115" s="726">
        <f>SUM(I110:J114)</f>
        <v>0</v>
      </c>
      <c r="J115" s="727"/>
      <c r="K115" s="494"/>
      <c r="L115" s="22"/>
      <c r="M115" s="22"/>
    </row>
    <row r="116" spans="1:13" customFormat="1" ht="18.75" customHeight="1" x14ac:dyDescent="0.2">
      <c r="A116" s="258"/>
      <c r="B116" s="716"/>
      <c r="C116" s="717"/>
      <c r="D116" s="717"/>
      <c r="E116" s="717"/>
      <c r="F116" s="717"/>
      <c r="G116" s="717"/>
      <c r="H116" s="717"/>
      <c r="I116" s="717"/>
      <c r="J116" s="718"/>
      <c r="K116" s="495"/>
      <c r="L116" s="22"/>
      <c r="M116" s="22"/>
    </row>
    <row r="117" spans="1:13" customFormat="1" ht="15" customHeight="1" x14ac:dyDescent="0.2">
      <c r="A117" s="260"/>
      <c r="B117" s="733" t="s">
        <v>268</v>
      </c>
      <c r="C117" s="734"/>
      <c r="D117" s="734"/>
      <c r="E117" s="734"/>
      <c r="F117" s="734"/>
      <c r="G117" s="734"/>
      <c r="H117" s="734"/>
      <c r="I117" s="734"/>
      <c r="J117" s="735"/>
      <c r="K117" s="493"/>
      <c r="L117" s="22"/>
      <c r="M117" s="22"/>
    </row>
    <row r="118" spans="1:13" customFormat="1" ht="12.75" customHeight="1" x14ac:dyDescent="0.2">
      <c r="A118" s="355">
        <v>94</v>
      </c>
      <c r="B118" s="646"/>
      <c r="C118" s="647"/>
      <c r="D118" s="647"/>
      <c r="E118" s="647"/>
      <c r="F118" s="647"/>
      <c r="G118" s="647"/>
      <c r="H118" s="648"/>
      <c r="I118" s="640"/>
      <c r="J118" s="641"/>
      <c r="K118" s="381"/>
      <c r="L118" s="22"/>
      <c r="M118" s="22"/>
    </row>
    <row r="119" spans="1:13" customFormat="1" ht="12.75" customHeight="1" x14ac:dyDescent="0.2">
      <c r="A119" s="355">
        <v>95</v>
      </c>
      <c r="B119" s="646"/>
      <c r="C119" s="647"/>
      <c r="D119" s="647"/>
      <c r="E119" s="647"/>
      <c r="F119" s="647"/>
      <c r="G119" s="647"/>
      <c r="H119" s="648"/>
      <c r="I119" s="640"/>
      <c r="J119" s="641"/>
      <c r="K119" s="381"/>
      <c r="L119" s="22"/>
      <c r="M119" s="22"/>
    </row>
    <row r="120" spans="1:13" customFormat="1" ht="12.75" customHeight="1" x14ac:dyDescent="0.2">
      <c r="A120" s="355">
        <v>96</v>
      </c>
      <c r="B120" s="646"/>
      <c r="C120" s="647"/>
      <c r="D120" s="647"/>
      <c r="E120" s="647"/>
      <c r="F120" s="647"/>
      <c r="G120" s="647"/>
      <c r="H120" s="648"/>
      <c r="I120" s="640"/>
      <c r="J120" s="641"/>
      <c r="K120" s="381"/>
      <c r="L120" s="22"/>
      <c r="M120" s="22"/>
    </row>
    <row r="121" spans="1:13" customFormat="1" ht="12.75" customHeight="1" x14ac:dyDescent="0.2">
      <c r="A121" s="355">
        <v>97</v>
      </c>
      <c r="B121" s="646"/>
      <c r="C121" s="647"/>
      <c r="D121" s="647"/>
      <c r="E121" s="647"/>
      <c r="F121" s="647"/>
      <c r="G121" s="647"/>
      <c r="H121" s="648"/>
      <c r="I121" s="640"/>
      <c r="J121" s="641"/>
      <c r="K121" s="381"/>
      <c r="L121" s="22"/>
      <c r="M121" s="22"/>
    </row>
    <row r="122" spans="1:13" customFormat="1" ht="12.75" customHeight="1" x14ac:dyDescent="0.2">
      <c r="A122" s="355">
        <v>98</v>
      </c>
      <c r="B122" s="646"/>
      <c r="C122" s="647"/>
      <c r="D122" s="647"/>
      <c r="E122" s="647"/>
      <c r="F122" s="647"/>
      <c r="G122" s="647"/>
      <c r="H122" s="648"/>
      <c r="I122" s="640"/>
      <c r="J122" s="641"/>
      <c r="K122" s="381"/>
      <c r="L122" s="22"/>
      <c r="M122" s="22"/>
    </row>
    <row r="123" spans="1:13" customFormat="1" ht="12.75" customHeight="1" x14ac:dyDescent="0.2">
      <c r="A123" s="355">
        <v>99</v>
      </c>
      <c r="B123" s="646"/>
      <c r="C123" s="647"/>
      <c r="D123" s="647"/>
      <c r="E123" s="647"/>
      <c r="F123" s="647"/>
      <c r="G123" s="647"/>
      <c r="H123" s="648"/>
      <c r="I123" s="640"/>
      <c r="J123" s="641"/>
      <c r="K123" s="381"/>
      <c r="L123" s="22"/>
      <c r="M123" s="22"/>
    </row>
    <row r="124" spans="1:13" customFormat="1" ht="15" customHeight="1" thickBot="1" x14ac:dyDescent="0.25">
      <c r="A124" s="357">
        <v>100</v>
      </c>
      <c r="B124" s="728" t="s">
        <v>269</v>
      </c>
      <c r="C124" s="729"/>
      <c r="D124" s="729"/>
      <c r="E124" s="729"/>
      <c r="F124" s="729"/>
      <c r="G124" s="729"/>
      <c r="H124" s="730"/>
      <c r="I124" s="731">
        <f>SUM(I118:J123)</f>
        <v>0</v>
      </c>
      <c r="J124" s="732"/>
      <c r="K124" s="381"/>
      <c r="L124" s="22"/>
      <c r="M124" s="22"/>
    </row>
    <row r="125" spans="1:13" ht="13.5" thickTop="1" x14ac:dyDescent="0.2"/>
    <row r="137" spans="11:18" x14ac:dyDescent="0.2">
      <c r="K137" s="381"/>
      <c r="N137"/>
      <c r="O137"/>
      <c r="P137"/>
      <c r="Q137"/>
      <c r="R137"/>
    </row>
    <row r="138" spans="11:18" x14ac:dyDescent="0.2">
      <c r="K138" s="381"/>
      <c r="N138"/>
      <c r="O138"/>
      <c r="P138"/>
      <c r="Q138"/>
      <c r="R138"/>
    </row>
    <row r="139" spans="11:18" x14ac:dyDescent="0.2">
      <c r="K139" s="381"/>
      <c r="N139"/>
      <c r="O139"/>
      <c r="P139"/>
      <c r="Q139"/>
      <c r="R139"/>
    </row>
    <row r="140" spans="11:18" x14ac:dyDescent="0.2">
      <c r="K140" s="381"/>
      <c r="N140"/>
      <c r="O140"/>
      <c r="P140"/>
      <c r="Q140"/>
      <c r="R140"/>
    </row>
    <row r="141" spans="11:18" x14ac:dyDescent="0.2">
      <c r="K141" s="381"/>
      <c r="N141"/>
      <c r="O141"/>
      <c r="P141"/>
      <c r="Q141"/>
      <c r="R141"/>
    </row>
  </sheetData>
  <sheetProtection algorithmName="SHA-512" hashValue="xwwwnHDjMshF4dFFvmlAG+6SZVXHqmYle534Y00sWohDGeqAaGjtZemo5IA/DZ41RKdfvGBI6KR2lwy3ryjQVw==" saltValue="JXM6W8vBW7Uvu6INahNvVQ==" spinCount="100000" sheet="1" objects="1" scenarios="1"/>
  <mergeCells count="199">
    <mergeCell ref="K2:M2"/>
    <mergeCell ref="H2:I2"/>
    <mergeCell ref="A4:B4"/>
    <mergeCell ref="A5:B5"/>
    <mergeCell ref="C2:D2"/>
    <mergeCell ref="A6:B6"/>
    <mergeCell ref="A1:N1"/>
    <mergeCell ref="K9:K10"/>
    <mergeCell ref="L9:L10"/>
    <mergeCell ref="A9:A10"/>
    <mergeCell ref="B9:C10"/>
    <mergeCell ref="D9:D10"/>
    <mergeCell ref="E9:E10"/>
    <mergeCell ref="F9:F10"/>
    <mergeCell ref="G9:G10"/>
    <mergeCell ref="H9:H10"/>
    <mergeCell ref="I9:I10"/>
    <mergeCell ref="J9:J10"/>
    <mergeCell ref="N9:N10"/>
    <mergeCell ref="K3:M3"/>
    <mergeCell ref="K4:M4"/>
    <mergeCell ref="K5:M5"/>
    <mergeCell ref="K6:M6"/>
    <mergeCell ref="E3:F3"/>
    <mergeCell ref="G3:H3"/>
    <mergeCell ref="E4:F4"/>
    <mergeCell ref="G4:H4"/>
    <mergeCell ref="E5:F5"/>
    <mergeCell ref="G5:H5"/>
    <mergeCell ref="E6:F6"/>
    <mergeCell ref="G6:H6"/>
    <mergeCell ref="A7:J7"/>
    <mergeCell ref="B8:C8"/>
    <mergeCell ref="B51:C51"/>
    <mergeCell ref="B67:J67"/>
    <mergeCell ref="I72:J72"/>
    <mergeCell ref="I69:J69"/>
    <mergeCell ref="B50:C50"/>
    <mergeCell ref="B63:C63"/>
    <mergeCell ref="B61:C61"/>
    <mergeCell ref="B58:C58"/>
    <mergeCell ref="B59:C59"/>
    <mergeCell ref="B60:C60"/>
    <mergeCell ref="B66:H66"/>
    <mergeCell ref="I66:J66"/>
    <mergeCell ref="B56:C56"/>
    <mergeCell ref="B70:H70"/>
    <mergeCell ref="B71:H71"/>
    <mergeCell ref="B72:H72"/>
    <mergeCell ref="B64:C64"/>
    <mergeCell ref="B62:C62"/>
    <mergeCell ref="B52:C52"/>
    <mergeCell ref="B53:C53"/>
    <mergeCell ref="B54:C54"/>
    <mergeCell ref="I91:J91"/>
    <mergeCell ref="B88:J88"/>
    <mergeCell ref="B79:H79"/>
    <mergeCell ref="B82:H82"/>
    <mergeCell ref="B89:H89"/>
    <mergeCell ref="B90:H90"/>
    <mergeCell ref="I99:J99"/>
    <mergeCell ref="B68:H68"/>
    <mergeCell ref="B91:H91"/>
    <mergeCell ref="B94:H94"/>
    <mergeCell ref="B95:H95"/>
    <mergeCell ref="I95:J95"/>
    <mergeCell ref="I90:J90"/>
    <mergeCell ref="B86:H86"/>
    <mergeCell ref="B69:H69"/>
    <mergeCell ref="I75:J75"/>
    <mergeCell ref="I80:J80"/>
    <mergeCell ref="I81:J81"/>
    <mergeCell ref="I82:J82"/>
    <mergeCell ref="B80:H80"/>
    <mergeCell ref="B81:H81"/>
    <mergeCell ref="I68:J68"/>
    <mergeCell ref="I86:J86"/>
    <mergeCell ref="I76:J76"/>
    <mergeCell ref="I96:J96"/>
    <mergeCell ref="I97:J97"/>
    <mergeCell ref="I98:J98"/>
    <mergeCell ref="B100:H100"/>
    <mergeCell ref="B99:H99"/>
    <mergeCell ref="I92:J92"/>
    <mergeCell ref="I93:J93"/>
    <mergeCell ref="I100:J100"/>
    <mergeCell ref="B96:H96"/>
    <mergeCell ref="I94:J94"/>
    <mergeCell ref="B92:H92"/>
    <mergeCell ref="B93:H93"/>
    <mergeCell ref="B124:H124"/>
    <mergeCell ref="I124:J124"/>
    <mergeCell ref="I121:J121"/>
    <mergeCell ref="I122:J122"/>
    <mergeCell ref="B123:H123"/>
    <mergeCell ref="B118:H118"/>
    <mergeCell ref="B119:H119"/>
    <mergeCell ref="B101:H101"/>
    <mergeCell ref="B97:H97"/>
    <mergeCell ref="B98:H98"/>
    <mergeCell ref="B106:H106"/>
    <mergeCell ref="B105:H105"/>
    <mergeCell ref="B117:J117"/>
    <mergeCell ref="I115:J115"/>
    <mergeCell ref="B113:H113"/>
    <mergeCell ref="I110:J110"/>
    <mergeCell ref="B112:H112"/>
    <mergeCell ref="I112:J112"/>
    <mergeCell ref="I102:J102"/>
    <mergeCell ref="I103:J103"/>
    <mergeCell ref="I104:J104"/>
    <mergeCell ref="B109:J109"/>
    <mergeCell ref="B103:H103"/>
    <mergeCell ref="I101:J101"/>
    <mergeCell ref="I113:J113"/>
    <mergeCell ref="I114:J114"/>
    <mergeCell ref="B116:J116"/>
    <mergeCell ref="I105:J105"/>
    <mergeCell ref="B107:H107"/>
    <mergeCell ref="B104:H104"/>
    <mergeCell ref="B102:H102"/>
    <mergeCell ref="I123:J123"/>
    <mergeCell ref="B121:H121"/>
    <mergeCell ref="B122:H122"/>
    <mergeCell ref="I118:J118"/>
    <mergeCell ref="I119:J119"/>
    <mergeCell ref="I120:J120"/>
    <mergeCell ref="B120:H120"/>
    <mergeCell ref="I106:J106"/>
    <mergeCell ref="I107:J107"/>
    <mergeCell ref="I111:J111"/>
    <mergeCell ref="B110:H110"/>
    <mergeCell ref="B111:H111"/>
    <mergeCell ref="B115:H115"/>
    <mergeCell ref="B114:H114"/>
    <mergeCell ref="B108:J108"/>
    <mergeCell ref="I84:J84"/>
    <mergeCell ref="I77:J77"/>
    <mergeCell ref="I70:J70"/>
    <mergeCell ref="I71:J71"/>
    <mergeCell ref="B83:H83"/>
    <mergeCell ref="I85:J85"/>
    <mergeCell ref="B85:H85"/>
    <mergeCell ref="I73:J73"/>
    <mergeCell ref="I83:J83"/>
    <mergeCell ref="B77:H77"/>
    <mergeCell ref="I74:J74"/>
    <mergeCell ref="B75:H75"/>
    <mergeCell ref="B76:H76"/>
    <mergeCell ref="B73:H73"/>
    <mergeCell ref="B74:H74"/>
    <mergeCell ref="B87:J87"/>
    <mergeCell ref="B84:H84"/>
    <mergeCell ref="I78:J78"/>
    <mergeCell ref="I79:J79"/>
    <mergeCell ref="B78:H78"/>
    <mergeCell ref="I89:J89"/>
    <mergeCell ref="B11:C11"/>
    <mergeCell ref="B37:C37"/>
    <mergeCell ref="B57:C57"/>
    <mergeCell ref="B26:C26"/>
    <mergeCell ref="B27:C27"/>
    <mergeCell ref="B25:C25"/>
    <mergeCell ref="B24:C24"/>
    <mergeCell ref="B17:C17"/>
    <mergeCell ref="B18:C18"/>
    <mergeCell ref="B38:C38"/>
    <mergeCell ref="B41:C41"/>
    <mergeCell ref="B42:C42"/>
    <mergeCell ref="B22:C22"/>
    <mergeCell ref="B23:C23"/>
    <mergeCell ref="B35:C35"/>
    <mergeCell ref="B44:C44"/>
    <mergeCell ref="B49:C49"/>
    <mergeCell ref="B55:C55"/>
    <mergeCell ref="M9:M10"/>
    <mergeCell ref="B29:C29"/>
    <mergeCell ref="B31:C31"/>
    <mergeCell ref="B48:C48"/>
    <mergeCell ref="B28:C28"/>
    <mergeCell ref="B15:C15"/>
    <mergeCell ref="B16:C16"/>
    <mergeCell ref="B12:C12"/>
    <mergeCell ref="B14:C14"/>
    <mergeCell ref="B13:C13"/>
    <mergeCell ref="B20:C20"/>
    <mergeCell ref="B21:C21"/>
    <mergeCell ref="B46:C46"/>
    <mergeCell ref="B36:C36"/>
    <mergeCell ref="B19:C19"/>
    <mergeCell ref="B30:C30"/>
    <mergeCell ref="B32:C32"/>
    <mergeCell ref="B33:C33"/>
    <mergeCell ref="B34:C34"/>
    <mergeCell ref="B47:C47"/>
    <mergeCell ref="B39:C39"/>
    <mergeCell ref="B40:C40"/>
    <mergeCell ref="B45:C45"/>
    <mergeCell ref="B43:C43"/>
  </mergeCells>
  <phoneticPr fontId="0" type="noConversion"/>
  <conditionalFormatting sqref="D58">
    <cfRule type="cellIs" dxfId="4" priority="12" stopIfTrue="1" operator="greaterThan">
      <formula>0.1</formula>
    </cfRule>
  </conditionalFormatting>
  <conditionalFormatting sqref="D61">
    <cfRule type="cellIs" dxfId="3" priority="11" stopIfTrue="1" operator="greaterThan">
      <formula>0.15</formula>
    </cfRule>
  </conditionalFormatting>
  <conditionalFormatting sqref="M12:M64">
    <cfRule type="expression" dxfId="2" priority="1" stopIfTrue="1">
      <formula>OR(M12&gt;0.1,M12&lt;-0.1)</formula>
    </cfRule>
  </conditionalFormatting>
  <dataValidations xWindow="1603" yWindow="611" count="31">
    <dataValidation allowBlank="1" showInputMessage="1" promptTitle="Acct 6790 Misc Tax,Lic,Perm,Ins" prompt="Provide expense description here; enter itemized amount at right. Expense descriptions should be intelligible, do not describe using &quot;Miscellaneous&quot; or &quot;Other&quot;._x000a_Total for this account will flow to Line #41 above." sqref="B110:H114" xr:uid="{00000000-0002-0000-0200-000001000000}"/>
    <dataValidation allowBlank="1" showInputMessage="1" promptTitle="Acct 6790 Misc Tax,Lic,Perm,Ins" prompt="Provide itemized amount here and description at left._x000a_Total for this account will flow to Line #41 above." sqref="I110:I114" xr:uid="{00000000-0002-0000-0200-000002000000}"/>
    <dataValidation type="textLength" operator="lessThan" showInputMessage="1" showErrorMessage="1" errorTitle="Read-Only Cell." error="This is not a form field. Please press Tab to continue." promptTitle="Acct. 6390 Misc. Admin. Exp." prompt="Itemized expense detail must be entered beginning in Line #50 below.  The amount for this account is auto-populated from below." sqref="E26" xr:uid="{00000000-0002-0000-0200-000003000000}">
      <formula1>0</formula1>
    </dataValidation>
    <dataValidation allowBlank="1" showInputMessage="1" showErrorMessage="1" promptTitle="6990 Other Supportive Serv Costs" prompt="Itemized expense detail must be entered beginning in Line #94 below.  The amount for this account is auto-populated from below." sqref="E62" xr:uid="{00000000-0002-0000-0200-000004000000}"/>
    <dataValidation allowBlank="1" showInputMessage="1" showErrorMessage="1" promptTitle="Acct 6790 Misc Tax,Lic,Perm,Ins" prompt="Itemized expense detail must be entered beginning in Line #88 below.  The amount for this account is auto-populated from below." sqref="E55" xr:uid="{00000000-0002-0000-0200-000005000000}"/>
    <dataValidation allowBlank="1" showInputMessage="1" showErrorMessage="1" promptTitle="Acct. 6590 Misc. Op &amp; Maint Exp" prompt="Itemized expense detail must be entered beginning in Line #69 below.  The amount for this account is auto-populated from below." sqref="E46" xr:uid="{00000000-0002-0000-0200-000006000000}"/>
    <dataValidation allowBlank="1" showInputMessage="1" promptTitle="Required field." prompt="Enter the appropriate $ amount correspondng to the Account Code noted in the column to the left. To access additional instructions regarding the Account Code, tab one additional field to the left, to hear the account name and pop-up instructions. " sqref="E58:E61 E29:E32 E35:E45 E49:E54 E13:E25" xr:uid="{08AA8B73-92E2-490B-B16F-B172D8927452}"/>
    <dataValidation allowBlank="1" showInputMessage="1" promptTitle="Required field." prompt="Enter the appropriate dollar amount correspondng to the Account Code noted in the column to the left. To access additional instructions regarding the Account Code, tab one additional field to the left, to hear the account name and pop-up instructions. " sqref="E12" xr:uid="{1BFC0FDB-17CF-4A15-A372-0A1E363751B7}"/>
    <dataValidation allowBlank="1" showInputMessage="1" promptTitle="Required field." prompt="Enter the appropriate dollar amount correspondng to the Account Code noted in the field 5 colums to the left. To access additional instructions regarding the Account Code, tab 1 additional field to the left, for the account name and pop-up instructions. " sqref="I58:I62 I29:I32 I35:I46 I49:I55 I12:I26" xr:uid="{B3B82EC1-0186-42E4-878B-D8ED4A46EB93}"/>
    <dataValidation allowBlank="1" showInputMessage="1" promptTitle="Acct. 6390 Misc. Admin Expenses" prompt="Provide expense description here; enter itemized amount at right. Expense descriptions should be intelligible, so do not describe as &quot;Miscellaneous&quot; or &quot;Other&quot;._x000a_Total for this account will flow to Line #15 above." sqref="B68:H85" xr:uid="{4F8A8C25-B56D-4FF7-8420-38CB61D07C54}"/>
    <dataValidation allowBlank="1" showInputMessage="1" promptTitle="Acct. 6390 Misc. Admin Expenses." prompt="Provide itemized amount here and description at left._x000a_Total for this account will flow to Line #15, column A above." sqref="I68:I85" xr:uid="{B1E9E7F4-1653-4CFE-B6F8-DADA0A54D267}"/>
    <dataValidation allowBlank="1" showInputMessage="1" promptTitle="Acct. 6590 Misc. Op &amp; Maint Exp." prompt="Provide expense description here; enter itemized amount at right. Expense descriptions should be intelligible,so do not describe as &quot;Miscellaneous&quot; or &quot;Other&quot;._x000a_Total for this account will flow to Line #33, column A above." sqref="B89:H106" xr:uid="{915C5855-9CEF-4136-8AC2-AD403AA52557}"/>
    <dataValidation allowBlank="1" showInputMessage="1" promptTitle="Acct. 6590 Misc. Op &amp; Maint Exp." prompt="Provide itemized amount here and description at left._x000a_Total for this account will flow to Line #33, column A above." sqref="I89:I106" xr:uid="{E3F52A40-79BC-43A9-A491-FEF3F2E6B2D2}"/>
    <dataValidation allowBlank="1" showInputMessage="1" promptTitle="6990 Other Supportive Serv Costs" prompt="Provide expense description here, enter itemized amount at right. Expense description should be intelligible, so do not describe as &quot;Miscellaneous&quot; or &quot;Other&quot;._x000a_Total for this line item will flow to Line #47, column A above." sqref="B118:H123" xr:uid="{9DFC6E6E-F85F-43C2-96AD-49F295E91B28}"/>
    <dataValidation allowBlank="1" showInputMessage="1" promptTitle="6990 Other Supportive Serv Costs" prompt="Provide itemized amount here and description at left._x000a_Total for this account will flow to Line #47, column A above." sqref="I118:I123" xr:uid="{93ACC245-7E24-4F9E-8265-DE3278D0AA96}"/>
    <dataValidation type="textLength" operator="lessThan" showInputMessage="1" showErrorMessage="1" errorTitle="Read-Only Cell." error="This is not a form field. Please press Tab to continue." sqref="A4:D6 C2:H2 B11:C64 E27 F58:F62 D12:D27 B124:I124 A1 B107:I107 H12:H27 G27 A12:A27 A29:A33 A35:A47 A49:A56 A58:A64 A68:A86 A89:A107 A110:A115 B66:I67 I63:I64 B88:I88 I56 F49:F55 G49:H56 G58:H64 I27 E56 I2:J6 E63:E64 F12:G26 F29:F32 E33 G29:H33 I33 B86:I86 F35:F46 G35:H47 I47 E47 B115:I115 B117:I117 B109:I109 B8:B9 F8:H8 A118:A124" xr:uid="{46751380-0EA8-4C0E-8BA0-65049676D7A5}">
      <formula1>0</formula1>
    </dataValidation>
    <dataValidation type="textLength" operator="lessThan" showInputMessage="1" showErrorMessage="1" errorTitle="Read-Only field." error="This is not a form field. Please press Tab to continue. " promptTitle="Column A, Total Budget Proposed." prompt="Enter the appropriate amount into the column A fields below that are noted as Required." sqref="E8" xr:uid="{3B8E7803-A63B-4E13-8DA5-4E1DC286C205}">
      <formula1>0</formula1>
    </dataValidation>
    <dataValidation type="textLength" operator="lessThan" showInputMessage="1" showErrorMessage="1" errorTitle="Read-Only Cell." error="This is not a form field. Please press Tab to continue." promptTitle="Column E, Commercial Proposed." prompt="Enter the appropriate amount into the column E fields below that are noted as Required. " sqref="I8:I10" xr:uid="{84D1A2AC-9831-49E0-93C5-C17632D68F6C}">
      <formula1>0</formula1>
    </dataValidation>
    <dataValidation type="textLength" operator="lessThan" showInputMessage="1" showErrorMessage="1" errorTitle="Read-Only Cell." error="This is not a form field. Please press Tab to continue." prompt="Account Code Column." sqref="D9" xr:uid="{A8C877D1-01BE-42EE-98F7-ED8DBDDBB896}">
      <formula1>0</formula1>
    </dataValidation>
    <dataValidation type="textLength" operator="lessThan" showInputMessage="1" showErrorMessage="1" errorTitle="Read-Only Cell." error="This is not a form field. Please press Tab to continue." prompt="Line Number Column." sqref="A8" xr:uid="{8C398398-984C-47A2-ACD0-AED0F4933528}">
      <formula1>0</formula1>
    </dataValidation>
    <dataValidation type="textLength" operator="lessThan" showInputMessage="1" showErrorMessage="1" errorTitle="Read-Only Cell." error="This is not a form field. Please press Tab to continue." prompt="Line Number." sqref="A9 A67" xr:uid="{275AE486-6C6B-42A3-A55F-F8CDBBFDAACF}">
      <formula1>0</formula1>
    </dataValidation>
    <dataValidation allowBlank="1" showInputMessage="1" showErrorMessage="1" promptTitle="6990 Other Supportive Serv Costs" prompt="Provide itemized amount here and description at left._x000a_Total for this account will flow to Line #47 above." sqref="J118:J123 K118:K124 K137:K141" xr:uid="{43B95DC3-2E6D-4AD2-A465-8352E00974C2}"/>
    <dataValidation allowBlank="1" showInputMessage="1" showErrorMessage="1" promptTitle="Acct. 6590 Misc. Op &amp; Maint Exp" prompt="Provide itemized amount here and description at left._x000a_Total for this account will flow to Line #33 above." sqref="J89:K106" xr:uid="{15054317-7679-40A1-97CE-B6D3B715FB67}"/>
    <dataValidation allowBlank="1" showInputMessage="1" showErrorMessage="1" promptTitle="Acct. 6390 Misc. Admin. Exp." prompt="Provide itemized amount here and description at left._x000a_Total for this account will flow to Line #15 above." sqref="J68:K85" xr:uid="{E49BA9F3-05A3-4057-9358-B108EEE33A41}"/>
    <dataValidation allowBlank="1" showInputMessage="1" showErrorMessage="1" promptTitle="Acct 6790 Misc Tax,Lic,Perm,Ins" prompt="Provide itemized amount here and description at left._x000a_Total for this account will flow to Line #41 above." sqref="J110:K114" xr:uid="{7B19BE40-8A54-40A5-8A8D-04C1D1AF5C2B}"/>
    <dataValidation errorStyle="information" allowBlank="1" showInputMessage="1" showErrorMessage="1" sqref="G9:H9 L9:M10" xr:uid="{7DD31F07-AC20-44E5-AF72-91DAF917F1C8}"/>
    <dataValidation errorStyle="warning" allowBlank="1" showInputMessage="1" showErrorMessage="1" sqref="E9:E10 F9 K9:K10" xr:uid="{559E2146-5A4D-41A5-BD5D-5FBBC9CE1F80}"/>
    <dataValidation type="textLength" operator="lessThan" showInputMessage="1" showErrorMessage="1" errorTitle="Read-Only Cell." error="This is not a form field. Please press Tab to continue." promptTitle="Column F, 8 Months of Actuals" prompt="Enter the first 8 months of the current year actual amount into the column F fields below that are noted as Required. " sqref="J8:J10" xr:uid="{CD04D308-4378-4FA2-9F5B-5130ED3FFBAE}">
      <formula1>0</formula1>
    </dataValidation>
    <dataValidation allowBlank="1" showInputMessage="1" promptTitle="Required field." prompt="Enter the 8 month actual amount correspondng to the Account Code noted in the field 6 colums to the left. To access additional instructions regarding the Account Code, tab 1 additional field to the left for the Account Name and pop-up instructions. " sqref="J12:J26 J29:J32 J49:J55 J35:J46 J58:J62" xr:uid="{7EECBD1E-AEE7-4FEA-967A-B937E9365666}"/>
    <dataValidation type="textLength" operator="lessThan" showInputMessage="1" showErrorMessage="1" errorTitle="Read-Only Cell." error="This is not a form field. Please press Tab to continue." promptTitle="Comments or Variance Explanation" prompt="Enter the first 8 months of the current year actual amount into the column F fields below that are noted as Required. " sqref="N9:N10" xr:uid="{A2C7FF0B-D30B-4149-9165-70F45275778E}">
      <formula1>0</formula1>
    </dataValidation>
    <dataValidation type="textLength" errorStyle="warning" operator="lessThan" showInputMessage="1" showErrorMessage="1" errorTitle="Read-Only Cell." error="This is not a form field. Please press Tab to continue." promptTitle="Comments or Variance Explanation" prompt="Enter the first 8 months of the current year actual amount into the column F fields below that are noted as Required. " sqref="N8" xr:uid="{5C6A5AC9-C57E-48D8-8A63-A6BDB115B0A2}">
      <formula1>0</formula1>
    </dataValidation>
  </dataValidations>
  <printOptions horizontalCentered="1"/>
  <pageMargins left="0.25" right="0.25" top="0.3" bottom="0.25" header="0" footer="0"/>
  <pageSetup scale="48" fitToHeight="2" pageOrder="overThenDown" orientation="portrait" r:id="rId1"/>
  <headerFooter>
    <oddHeader>&amp;L&amp;9STATE OF CALIFORNIA</oddHeader>
    <oddFooter>&amp;C&amp;9Page &amp;P of &amp;N</oddFooter>
  </headerFooter>
  <rowBreaks count="1" manualBreakCount="1">
    <brk id="64" max="1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CFFCC"/>
    <pageSetUpPr fitToPage="1"/>
  </sheetPr>
  <dimension ref="A1:W81"/>
  <sheetViews>
    <sheetView showGridLines="0" zoomScaleNormal="100" workbookViewId="0">
      <pane ySplit="10" topLeftCell="A11" activePane="bottomLeft" state="frozen"/>
      <selection pane="bottomLeft" activeCell="V20" sqref="V20"/>
    </sheetView>
  </sheetViews>
  <sheetFormatPr defaultColWidth="0" defaultRowHeight="12.75" zeroHeight="1" x14ac:dyDescent="0.2"/>
  <cols>
    <col min="1" max="1" width="3" style="22" customWidth="1"/>
    <col min="2" max="2" width="17.28515625" style="22" customWidth="1"/>
    <col min="3" max="3" width="34" style="22" customWidth="1"/>
    <col min="4" max="4" width="7.140625" style="22" customWidth="1"/>
    <col min="5" max="11" width="11" style="22" customWidth="1"/>
    <col min="12" max="12" width="12.5703125" style="22" customWidth="1"/>
    <col min="13" max="13" width="9.140625" style="22" customWidth="1"/>
    <col min="14" max="17" width="9.140625" style="22" hidden="1" customWidth="1"/>
    <col min="18" max="23" width="9.140625" style="22" customWidth="1"/>
    <col min="24" max="26" width="9.140625" style="22" hidden="1" customWidth="1"/>
    <col min="27" max="16384" width="9.140625" style="22" hidden="1"/>
  </cols>
  <sheetData>
    <row r="1" spans="1:17" ht="16.5" customHeight="1" x14ac:dyDescent="0.2">
      <c r="A1" s="771" t="s">
        <v>297</v>
      </c>
      <c r="B1" s="772"/>
      <c r="C1" s="772"/>
      <c r="D1" s="772"/>
      <c r="E1" s="772"/>
      <c r="F1" s="772"/>
      <c r="G1" s="772"/>
      <c r="H1" s="772"/>
      <c r="I1" s="772"/>
      <c r="J1" s="772"/>
      <c r="K1" s="772"/>
      <c r="L1" s="773"/>
    </row>
    <row r="2" spans="1:17" ht="12.75" customHeight="1" x14ac:dyDescent="0.2">
      <c r="B2" s="423">
        <f>'1. Operating Budget Instruction'!K1</f>
        <v>45763</v>
      </c>
      <c r="C2" s="27"/>
      <c r="D2" s="77" t="s">
        <v>0</v>
      </c>
      <c r="E2" s="314" t="str">
        <f>IF(' 2. Checklist and Cert - 170'!D2="","",' 2. Checklist and Cert - 170'!D2)</f>
        <v/>
      </c>
      <c r="F2" s="32" t="s">
        <v>1</v>
      </c>
      <c r="G2" s="314" t="str">
        <f>IF(' 2. Checklist and Cert - 170'!F2="","",' 2. Checklist and Cert - 170'!F2)</f>
        <v/>
      </c>
      <c r="K2" s="17" t="s">
        <v>153</v>
      </c>
      <c r="L2" s="230" t="str">
        <f>IF(' 2. Checklist and Cert - 170'!D10="","",' 2. Checklist and Cert - 170'!D10)</f>
        <v/>
      </c>
    </row>
    <row r="3" spans="1:17" ht="12.75" customHeight="1" x14ac:dyDescent="0.2">
      <c r="D3" s="23"/>
      <c r="E3" s="49"/>
      <c r="F3" s="774" t="str">
        <f>' 2. Checklist and Cert - 170'!A5</f>
        <v xml:space="preserve">1. HCD/CalHFA #:  </v>
      </c>
      <c r="G3" s="774"/>
      <c r="H3" s="775" t="str">
        <f>IF(' 2. Checklist and Cert - 170'!D5="","",' 2. Checklist and Cert - 170'!D5)</f>
        <v/>
      </c>
      <c r="I3" s="775">
        <f>' 2. Checklist and Cert - 170'!J2</f>
        <v>0</v>
      </c>
      <c r="K3" s="17" t="s">
        <v>154</v>
      </c>
      <c r="L3" s="230" t="str">
        <f>IF(' 2. Checklist and Cert - 170'!L9="","",' 2. Checklist and Cert - 170'!L9)</f>
        <v/>
      </c>
    </row>
    <row r="4" spans="1:17" s="4" customFormat="1" ht="12.75" customHeight="1" x14ac:dyDescent="0.2">
      <c r="A4" s="649" t="s">
        <v>2</v>
      </c>
      <c r="B4" s="649"/>
      <c r="C4" s="775" t="str">
        <f>IF(' 2. Checklist and Cert - 170'!D3="","",' 2. Checklist and Cert - 170'!D3)</f>
        <v/>
      </c>
      <c r="D4" s="775"/>
      <c r="E4" s="775"/>
      <c r="F4" s="774" t="str">
        <f>' 2. Checklist and Cert - 170'!A6</f>
        <v xml:space="preserve">2. HCD/CalHFA #:  </v>
      </c>
      <c r="G4" s="774"/>
      <c r="H4" s="775" t="str">
        <f>IF(' 2. Checklist and Cert - 170'!D6="","",' 2. Checklist and Cert - 170'!D6)</f>
        <v/>
      </c>
      <c r="I4" s="775">
        <f>' 2. Checklist and Cert - 170'!J3</f>
        <v>0</v>
      </c>
      <c r="J4" s="102"/>
      <c r="K4" s="17" t="str">
        <f>CONCATENATE(' 2. Checklist and Cert - 170'!M2," Units:")</f>
        <v>Assisted Units:</v>
      </c>
      <c r="L4" s="183">
        <f>IF(' 2. Checklist and Cert - 170'!L2="",0,' 2. Checklist and Cert - 170'!L2)</f>
        <v>0</v>
      </c>
    </row>
    <row r="5" spans="1:17" s="4" customFormat="1" ht="12.75" customHeight="1" x14ac:dyDescent="0.2">
      <c r="A5" s="649" t="s">
        <v>148</v>
      </c>
      <c r="B5" s="649"/>
      <c r="C5" s="788" t="str">
        <f>IF(' 2. Checklist and Cert - 170'!D4="","",' 2. Checklist and Cert - 170'!D4)</f>
        <v/>
      </c>
      <c r="D5" s="788"/>
      <c r="E5" s="788"/>
      <c r="F5" s="774" t="str">
        <f>' 2. Checklist and Cert - 170'!A7</f>
        <v xml:space="preserve">3. HCD/CalHFA #:  </v>
      </c>
      <c r="G5" s="774"/>
      <c r="H5" s="775" t="str">
        <f>IF(' 2. Checklist and Cert - 170'!D7="","",' 2. Checklist and Cert - 170'!D7)</f>
        <v/>
      </c>
      <c r="I5" s="775">
        <f>' 2. Checklist and Cert - 170'!J4</f>
        <v>0</v>
      </c>
      <c r="J5" s="102"/>
      <c r="K5" s="17" t="s">
        <v>149</v>
      </c>
      <c r="L5" s="184">
        <f>IF(' 2. Checklist and Cert - 170'!L3="",0,' 2. Checklist and Cert - 170'!L3)</f>
        <v>0</v>
      </c>
    </row>
    <row r="6" spans="1:17" s="4" customFormat="1" ht="12.75" customHeight="1" x14ac:dyDescent="0.2">
      <c r="A6" s="649" t="s">
        <v>151</v>
      </c>
      <c r="B6" s="649"/>
      <c r="C6" s="789"/>
      <c r="D6" s="789"/>
      <c r="E6" s="15"/>
      <c r="F6" s="774" t="str">
        <f>' 2. Checklist and Cert - 170'!A8</f>
        <v xml:space="preserve">4. HCD/CalHFA #:  </v>
      </c>
      <c r="G6" s="774"/>
      <c r="H6" s="775" t="str">
        <f>IF(' 2. Checklist and Cert - 170'!D8="","",' 2. Checklist and Cert - 170'!D8)</f>
        <v/>
      </c>
      <c r="I6" s="775">
        <f>' 2. Checklist and Cert - 170'!J5</f>
        <v>0</v>
      </c>
      <c r="J6" s="17"/>
      <c r="K6" s="17" t="s">
        <v>171</v>
      </c>
      <c r="L6" s="263">
        <f>IF(' 2. Checklist and Cert - 170'!$L$5=0,' 2. Checklist and Cert - 170'!$L$4,' 2. Checklist and Cert - 170'!$L$5)</f>
        <v>0</v>
      </c>
    </row>
    <row r="7" spans="1:17" s="4" customFormat="1" ht="12.75" customHeight="1" thickBot="1" x14ac:dyDescent="0.25">
      <c r="A7" s="649"/>
      <c r="B7" s="649"/>
      <c r="C7" s="425"/>
      <c r="J7" s="102"/>
      <c r="K7" s="125"/>
      <c r="L7" s="102"/>
    </row>
    <row r="8" spans="1:17" ht="15.75" customHeight="1" thickTop="1" x14ac:dyDescent="0.2">
      <c r="A8" s="776" t="s">
        <v>145</v>
      </c>
      <c r="B8" s="779" t="s">
        <v>280</v>
      </c>
      <c r="C8" s="779"/>
      <c r="D8" s="780"/>
      <c r="E8" s="786" t="str">
        <f>CONCATENATE(' 2. Checklist and Cert - 170'!$M$2," Units")</f>
        <v>Assisted Units</v>
      </c>
      <c r="F8" s="787" t="str">
        <f>CONCATENATE(' 2. Checklist and Cert - 170'!$M$2," Units")</f>
        <v>Assisted Units</v>
      </c>
      <c r="G8" s="786" t="str">
        <f>CONCATENATE("Non-",' 2. Checklist and Cert - 170'!$M$2," Units")</f>
        <v>Non-Assisted Units</v>
      </c>
      <c r="H8" s="787" t="str">
        <f>CONCATENATE("Non-",' 2. Checklist and Cert - 170'!$M$2," Units")</f>
        <v>Non-Assisted Units</v>
      </c>
      <c r="I8" s="804" t="s">
        <v>27</v>
      </c>
      <c r="J8" s="787"/>
      <c r="K8" s="786" t="s">
        <v>87</v>
      </c>
      <c r="L8" s="787"/>
    </row>
    <row r="9" spans="1:17" ht="11.25" customHeight="1" x14ac:dyDescent="0.2">
      <c r="A9" s="777"/>
      <c r="B9" s="782" t="s">
        <v>60</v>
      </c>
      <c r="C9" s="783"/>
      <c r="D9" s="687" t="s">
        <v>215</v>
      </c>
      <c r="E9" s="130" t="s">
        <v>43</v>
      </c>
      <c r="F9" s="134" t="s">
        <v>44</v>
      </c>
      <c r="G9" s="224" t="s">
        <v>45</v>
      </c>
      <c r="H9" s="185" t="s">
        <v>46</v>
      </c>
      <c r="I9" s="224" t="s">
        <v>48</v>
      </c>
      <c r="J9" s="185" t="s">
        <v>49</v>
      </c>
      <c r="K9" s="130" t="s">
        <v>50</v>
      </c>
      <c r="L9" s="135" t="s">
        <v>51</v>
      </c>
    </row>
    <row r="10" spans="1:17" ht="36" customHeight="1" x14ac:dyDescent="0.2">
      <c r="A10" s="778"/>
      <c r="B10" s="784"/>
      <c r="C10" s="785"/>
      <c r="D10" s="781"/>
      <c r="E10" s="223" t="s">
        <v>163</v>
      </c>
      <c r="F10" s="236" t="s">
        <v>284</v>
      </c>
      <c r="G10" s="223" t="s">
        <v>163</v>
      </c>
      <c r="H10" s="236" t="s">
        <v>284</v>
      </c>
      <c r="I10" s="223" t="s">
        <v>163</v>
      </c>
      <c r="J10" s="236" t="s">
        <v>284</v>
      </c>
      <c r="K10" s="223" t="s">
        <v>163</v>
      </c>
      <c r="L10" s="236" t="s">
        <v>284</v>
      </c>
      <c r="N10" t="s">
        <v>108</v>
      </c>
      <c r="Q10" t="s">
        <v>108</v>
      </c>
    </row>
    <row r="11" spans="1:17" ht="12.75" customHeight="1" x14ac:dyDescent="0.2">
      <c r="A11" s="249"/>
      <c r="B11" s="652" t="s">
        <v>63</v>
      </c>
      <c r="C11" s="653"/>
      <c r="D11" s="142"/>
      <c r="E11" s="25"/>
      <c r="F11" s="35"/>
      <c r="G11" s="25"/>
      <c r="H11" s="174"/>
      <c r="I11" s="25"/>
      <c r="J11" s="174"/>
      <c r="K11" s="25"/>
      <c r="L11" s="170"/>
      <c r="N11" s="3" t="b">
        <v>0</v>
      </c>
      <c r="O11" s="182" t="b">
        <v>0</v>
      </c>
      <c r="P11" s="182" t="b">
        <v>0</v>
      </c>
      <c r="Q11" s="3" t="b">
        <v>0</v>
      </c>
    </row>
    <row r="12" spans="1:17" ht="12.75" customHeight="1" x14ac:dyDescent="0.2">
      <c r="A12" s="249">
        <v>1</v>
      </c>
      <c r="B12" s="644" t="s">
        <v>28</v>
      </c>
      <c r="C12" s="645"/>
      <c r="D12" s="142">
        <v>5120</v>
      </c>
      <c r="E12" s="28">
        <f>+'3. Proposed Cash Flow -171'!F11</f>
        <v>0</v>
      </c>
      <c r="F12" s="429">
        <f>IF($N$11=TRUE,E12,0)</f>
        <v>0</v>
      </c>
      <c r="G12" s="28">
        <f>+'3. Proposed Cash Flow -171'!G11</f>
        <v>0</v>
      </c>
      <c r="H12" s="429">
        <f>IF($O$11=TRUE,G12,0)</f>
        <v>0</v>
      </c>
      <c r="I12" s="28"/>
      <c r="J12" s="175"/>
      <c r="K12" s="28">
        <f t="shared" ref="K12:K17" si="0">+E12+G12+I12</f>
        <v>0</v>
      </c>
      <c r="L12" s="89">
        <f t="shared" ref="L12:L17" si="1">F12+H12+J12</f>
        <v>0</v>
      </c>
    </row>
    <row r="13" spans="1:17" ht="12.75" customHeight="1" x14ac:dyDescent="0.2">
      <c r="A13" s="249">
        <v>2</v>
      </c>
      <c r="B13" s="644" t="s">
        <v>89</v>
      </c>
      <c r="C13" s="645"/>
      <c r="D13" s="142">
        <v>5121</v>
      </c>
      <c r="E13" s="28">
        <f>+'3. Proposed Cash Flow -171'!F12</f>
        <v>0</v>
      </c>
      <c r="F13" s="429">
        <f>IF($N$11=TRUE,E13,0)</f>
        <v>0</v>
      </c>
      <c r="G13" s="28">
        <f>+'3. Proposed Cash Flow -171'!G12</f>
        <v>0</v>
      </c>
      <c r="H13" s="429">
        <f>IF($O$11=TRUE,G13,0)</f>
        <v>0</v>
      </c>
      <c r="I13" s="28"/>
      <c r="J13" s="175"/>
      <c r="K13" s="28">
        <f t="shared" si="0"/>
        <v>0</v>
      </c>
      <c r="L13" s="89">
        <f t="shared" si="1"/>
        <v>0</v>
      </c>
    </row>
    <row r="14" spans="1:17" ht="12.75" customHeight="1" x14ac:dyDescent="0.2">
      <c r="A14" s="249">
        <v>3</v>
      </c>
      <c r="B14" s="790" t="s">
        <v>29</v>
      </c>
      <c r="C14" s="791"/>
      <c r="D14" s="142">
        <v>5140</v>
      </c>
      <c r="E14" s="28"/>
      <c r="F14" s="89"/>
      <c r="G14" s="28"/>
      <c r="H14" s="175"/>
      <c r="I14" s="28">
        <f>+'3. Proposed Cash Flow -171'!H13</f>
        <v>0</v>
      </c>
      <c r="J14" s="429">
        <f>IF($P$11=TRUE,I14,0)</f>
        <v>0</v>
      </c>
      <c r="K14" s="28">
        <f t="shared" si="0"/>
        <v>0</v>
      </c>
      <c r="L14" s="89">
        <f t="shared" si="1"/>
        <v>0</v>
      </c>
    </row>
    <row r="15" spans="1:17" ht="12.75" customHeight="1" x14ac:dyDescent="0.2">
      <c r="A15" s="249">
        <v>4</v>
      </c>
      <c r="B15" s="644" t="s">
        <v>30</v>
      </c>
      <c r="C15" s="645"/>
      <c r="D15" s="142">
        <v>5170</v>
      </c>
      <c r="E15" s="28">
        <f>+'3. Proposed Cash Flow -171'!F14</f>
        <v>0</v>
      </c>
      <c r="F15" s="429">
        <f>IF($N$11=TRUE,E15,0)</f>
        <v>0</v>
      </c>
      <c r="G15" s="28">
        <f>+'3. Proposed Cash Flow -171'!G14</f>
        <v>0</v>
      </c>
      <c r="H15" s="429">
        <f>IF($O$11=TRUE,G15,0)</f>
        <v>0</v>
      </c>
      <c r="I15" s="28">
        <f>+'3. Proposed Cash Flow -171'!H14</f>
        <v>0</v>
      </c>
      <c r="J15" s="429">
        <f>IF($P$11=TRUE,I15,0)</f>
        <v>0</v>
      </c>
      <c r="K15" s="28">
        <f t="shared" si="0"/>
        <v>0</v>
      </c>
      <c r="L15" s="89">
        <f t="shared" si="1"/>
        <v>0</v>
      </c>
    </row>
    <row r="16" spans="1:17" ht="12.75" customHeight="1" x14ac:dyDescent="0.2">
      <c r="A16" s="249">
        <v>5</v>
      </c>
      <c r="B16" s="644" t="s">
        <v>31</v>
      </c>
      <c r="C16" s="645"/>
      <c r="D16" s="142">
        <v>5180</v>
      </c>
      <c r="E16" s="28">
        <f>+'3. Proposed Cash Flow -171'!F15</f>
        <v>0</v>
      </c>
      <c r="F16" s="429">
        <f>IF($N$11=TRUE,E16,0)</f>
        <v>0</v>
      </c>
      <c r="G16" s="28">
        <f>+'3. Proposed Cash Flow -171'!G15</f>
        <v>0</v>
      </c>
      <c r="H16" s="429">
        <f>IF($O$11=TRUE,G16,0)</f>
        <v>0</v>
      </c>
      <c r="I16" s="28">
        <f>+'3. Proposed Cash Flow -171'!H15</f>
        <v>0</v>
      </c>
      <c r="J16" s="429">
        <f>IF($P$11=TRUE,I16,0)</f>
        <v>0</v>
      </c>
      <c r="K16" s="28">
        <f t="shared" si="0"/>
        <v>0</v>
      </c>
      <c r="L16" s="89">
        <f t="shared" si="1"/>
        <v>0</v>
      </c>
    </row>
    <row r="17" spans="1:12" ht="12.75" customHeight="1" x14ac:dyDescent="0.2">
      <c r="A17" s="249">
        <v>6</v>
      </c>
      <c r="B17" s="644" t="s">
        <v>201</v>
      </c>
      <c r="C17" s="645"/>
      <c r="D17" s="142">
        <v>5190</v>
      </c>
      <c r="E17" s="28">
        <f>+'3. Proposed Cash Flow -171'!F16</f>
        <v>0</v>
      </c>
      <c r="F17" s="429">
        <f>IF($N$11=TRUE,E17,0)</f>
        <v>0</v>
      </c>
      <c r="G17" s="28">
        <f>+'3. Proposed Cash Flow -171'!G16</f>
        <v>0</v>
      </c>
      <c r="H17" s="429">
        <f>IF($O$11=TRUE,G17,0)</f>
        <v>0</v>
      </c>
      <c r="I17" s="28">
        <f>+'3. Proposed Cash Flow -171'!H16</f>
        <v>0</v>
      </c>
      <c r="J17" s="429">
        <f>IF($P$11=TRUE,I17,0)</f>
        <v>0</v>
      </c>
      <c r="K17" s="28">
        <f t="shared" si="0"/>
        <v>0</v>
      </c>
      <c r="L17" s="89">
        <f t="shared" si="1"/>
        <v>0</v>
      </c>
    </row>
    <row r="18" spans="1:12" ht="12.75" customHeight="1" x14ac:dyDescent="0.2">
      <c r="A18" s="250">
        <v>7</v>
      </c>
      <c r="B18" s="668" t="s">
        <v>62</v>
      </c>
      <c r="C18" s="669"/>
      <c r="D18" s="143" t="s">
        <v>61</v>
      </c>
      <c r="E18" s="38">
        <f t="shared" ref="E18:L18" si="2">SUM(E12:E17)</f>
        <v>0</v>
      </c>
      <c r="F18" s="87">
        <f t="shared" si="2"/>
        <v>0</v>
      </c>
      <c r="G18" s="38">
        <f t="shared" si="2"/>
        <v>0</v>
      </c>
      <c r="H18" s="176">
        <f t="shared" si="2"/>
        <v>0</v>
      </c>
      <c r="I18" s="38">
        <f t="shared" si="2"/>
        <v>0</v>
      </c>
      <c r="J18" s="176">
        <f t="shared" si="2"/>
        <v>0</v>
      </c>
      <c r="K18" s="38">
        <f t="shared" si="2"/>
        <v>0</v>
      </c>
      <c r="L18" s="87">
        <f t="shared" si="2"/>
        <v>0</v>
      </c>
    </row>
    <row r="19" spans="1:12" ht="12.75" customHeight="1" x14ac:dyDescent="0.2">
      <c r="A19" s="249"/>
      <c r="B19" s="655" t="s">
        <v>64</v>
      </c>
      <c r="C19" s="653"/>
      <c r="D19" s="142"/>
      <c r="E19" s="30"/>
      <c r="F19" s="88"/>
      <c r="G19" s="30"/>
      <c r="H19" s="177"/>
      <c r="I19" s="30"/>
      <c r="J19" s="177"/>
      <c r="K19" s="30"/>
      <c r="L19" s="88"/>
    </row>
    <row r="20" spans="1:12" ht="12.75" customHeight="1" x14ac:dyDescent="0.2">
      <c r="A20" s="249">
        <v>8</v>
      </c>
      <c r="B20" s="792" t="s">
        <v>106</v>
      </c>
      <c r="C20" s="793"/>
      <c r="D20" s="142"/>
      <c r="E20" s="92">
        <f>+'3. Proposed Cash Flow -171'!F19</f>
        <v>0</v>
      </c>
      <c r="F20" s="430">
        <f>IF($N$11=TRUE,E20,0)</f>
        <v>0</v>
      </c>
      <c r="G20" s="92">
        <f>+'3. Proposed Cash Flow -171'!G19</f>
        <v>0</v>
      </c>
      <c r="H20" s="430">
        <f>IF($O$11=TRUE,G20,0)</f>
        <v>0</v>
      </c>
      <c r="I20" s="92">
        <f>+'3. Proposed Cash Flow -171'!H19</f>
        <v>0</v>
      </c>
      <c r="J20" s="430">
        <f>IF($P$11=TRUE,I20,0)</f>
        <v>0</v>
      </c>
      <c r="K20" s="433">
        <f>IF(K21=0,0,K21/(K12+K13))</f>
        <v>0</v>
      </c>
      <c r="L20" s="432">
        <f>IF(L21=0,0,L21/(L12+L13))</f>
        <v>0</v>
      </c>
    </row>
    <row r="21" spans="1:12" ht="12.75" customHeight="1" x14ac:dyDescent="0.2">
      <c r="A21" s="249">
        <v>9</v>
      </c>
      <c r="B21" s="654" t="s">
        <v>33</v>
      </c>
      <c r="C21" s="645"/>
      <c r="D21" s="142">
        <v>5220</v>
      </c>
      <c r="E21" s="28">
        <f>+'3. Proposed Cash Flow -171'!F20</f>
        <v>0</v>
      </c>
      <c r="F21" s="175">
        <f>SUM(F12+F13)*F20</f>
        <v>0</v>
      </c>
      <c r="G21" s="28">
        <f>+'3. Proposed Cash Flow -171'!G20</f>
        <v>0</v>
      </c>
      <c r="H21" s="175">
        <f>SUM(H12+H13)*H20</f>
        <v>0</v>
      </c>
      <c r="I21" s="28"/>
      <c r="J21" s="175"/>
      <c r="K21" s="28">
        <f t="shared" ref="K21:K22" si="3">+E21+G21+I21</f>
        <v>0</v>
      </c>
      <c r="L21" s="89">
        <f>F21+H21+J21</f>
        <v>0</v>
      </c>
    </row>
    <row r="22" spans="1:12" ht="12.75" customHeight="1" x14ac:dyDescent="0.2">
      <c r="A22" s="249">
        <v>10</v>
      </c>
      <c r="B22" s="654" t="s">
        <v>34</v>
      </c>
      <c r="C22" s="645"/>
      <c r="D22" s="142">
        <v>5240</v>
      </c>
      <c r="E22" s="28"/>
      <c r="F22" s="89"/>
      <c r="G22" s="28"/>
      <c r="H22" s="175"/>
      <c r="I22" s="28">
        <f>+'3. Proposed Cash Flow -171'!H21</f>
        <v>0</v>
      </c>
      <c r="J22" s="175">
        <f>J14*J20</f>
        <v>0</v>
      </c>
      <c r="K22" s="28">
        <f t="shared" si="3"/>
        <v>0</v>
      </c>
      <c r="L22" s="89">
        <f>F22+H22+J22</f>
        <v>0</v>
      </c>
    </row>
    <row r="23" spans="1:12" ht="12.75" customHeight="1" x14ac:dyDescent="0.2">
      <c r="A23" s="249">
        <v>11</v>
      </c>
      <c r="B23" s="654" t="s">
        <v>35</v>
      </c>
      <c r="C23" s="645"/>
      <c r="D23" s="142">
        <v>5250</v>
      </c>
      <c r="E23" s="28">
        <f>+'3. Proposed Cash Flow -171'!F22</f>
        <v>0</v>
      </c>
      <c r="F23" s="429">
        <f>IF($N$11=TRUE,E23,0)</f>
        <v>0</v>
      </c>
      <c r="G23" s="28">
        <f>+'3. Proposed Cash Flow -171'!G22</f>
        <v>0</v>
      </c>
      <c r="H23" s="429">
        <f>IF($O$11=TRUE,G23,0)</f>
        <v>0</v>
      </c>
      <c r="I23" s="28">
        <f>+'3. Proposed Cash Flow -171'!H22</f>
        <v>0</v>
      </c>
      <c r="J23" s="429">
        <f>IF($P$11=TRUE,I23,0)</f>
        <v>0</v>
      </c>
      <c r="K23" s="28">
        <f>+E23+G23+I23</f>
        <v>0</v>
      </c>
      <c r="L23" s="89">
        <f>F23+H23+J23</f>
        <v>0</v>
      </c>
    </row>
    <row r="24" spans="1:12" ht="12.75" customHeight="1" x14ac:dyDescent="0.2">
      <c r="A24" s="249">
        <v>12</v>
      </c>
      <c r="B24" s="644" t="s">
        <v>30</v>
      </c>
      <c r="C24" s="645"/>
      <c r="D24" s="142">
        <v>5270</v>
      </c>
      <c r="E24" s="28">
        <f>+'3. Proposed Cash Flow -171'!F23</f>
        <v>0</v>
      </c>
      <c r="F24" s="429">
        <f>IF($N$11=TRUE,E24,0)</f>
        <v>0</v>
      </c>
      <c r="G24" s="28">
        <f>+'3. Proposed Cash Flow -171'!G23</f>
        <v>0</v>
      </c>
      <c r="H24" s="429">
        <f>IF($O$11=TRUE,G24,0)</f>
        <v>0</v>
      </c>
      <c r="I24" s="28">
        <f>+'3. Proposed Cash Flow -171'!H23</f>
        <v>0</v>
      </c>
      <c r="J24" s="429">
        <f>IF($P$11=TRUE,I24,0)</f>
        <v>0</v>
      </c>
      <c r="K24" s="28">
        <f>+E24+G24+I24</f>
        <v>0</v>
      </c>
      <c r="L24" s="89">
        <f>F24+H24+J24</f>
        <v>0</v>
      </c>
    </row>
    <row r="25" spans="1:12" ht="12.75" customHeight="1" x14ac:dyDescent="0.2">
      <c r="A25" s="249">
        <v>13</v>
      </c>
      <c r="B25" s="794" t="s">
        <v>88</v>
      </c>
      <c r="C25" s="795"/>
      <c r="D25" s="141">
        <v>5290</v>
      </c>
      <c r="E25" s="28">
        <f>+'3. Proposed Cash Flow -171'!F24</f>
        <v>0</v>
      </c>
      <c r="F25" s="429">
        <f>IF($N$11=TRUE,E25,0)</f>
        <v>0</v>
      </c>
      <c r="G25" s="28">
        <f>+'3. Proposed Cash Flow -171'!G24</f>
        <v>0</v>
      </c>
      <c r="H25" s="429">
        <f>IF($O$11=TRUE,G25,0)</f>
        <v>0</v>
      </c>
      <c r="I25" s="28">
        <f>+'3. Proposed Cash Flow -171'!H24</f>
        <v>0</v>
      </c>
      <c r="J25" s="429">
        <f>IF($P$11=TRUE,I25,0)</f>
        <v>0</v>
      </c>
      <c r="K25" s="28">
        <f>+E25+G25+I25</f>
        <v>0</v>
      </c>
      <c r="L25" s="89">
        <f>F25+H25+J25</f>
        <v>0</v>
      </c>
    </row>
    <row r="26" spans="1:12" ht="12.75" customHeight="1" x14ac:dyDescent="0.2">
      <c r="A26" s="250">
        <v>14</v>
      </c>
      <c r="B26" s="699" t="s">
        <v>65</v>
      </c>
      <c r="C26" s="669"/>
      <c r="D26" s="143" t="s">
        <v>66</v>
      </c>
      <c r="E26" s="38">
        <f t="shared" ref="E26:L26" si="4">SUM(E21:E25)</f>
        <v>0</v>
      </c>
      <c r="F26" s="87">
        <f t="shared" si="4"/>
        <v>0</v>
      </c>
      <c r="G26" s="38">
        <f t="shared" si="4"/>
        <v>0</v>
      </c>
      <c r="H26" s="176">
        <f t="shared" si="4"/>
        <v>0</v>
      </c>
      <c r="I26" s="38">
        <f t="shared" si="4"/>
        <v>0</v>
      </c>
      <c r="J26" s="176">
        <f t="shared" si="4"/>
        <v>0</v>
      </c>
      <c r="K26" s="38">
        <f t="shared" si="4"/>
        <v>0</v>
      </c>
      <c r="L26" s="87">
        <f t="shared" si="4"/>
        <v>0</v>
      </c>
    </row>
    <row r="27" spans="1:12" ht="12.75" customHeight="1" x14ac:dyDescent="0.2">
      <c r="A27" s="250">
        <v>15</v>
      </c>
      <c r="B27" s="699" t="s">
        <v>71</v>
      </c>
      <c r="C27" s="669"/>
      <c r="D27" s="144" t="s">
        <v>72</v>
      </c>
      <c r="E27" s="37">
        <f t="shared" ref="E27:L27" si="5">E18-E26</f>
        <v>0</v>
      </c>
      <c r="F27" s="41">
        <f t="shared" si="5"/>
        <v>0</v>
      </c>
      <c r="G27" s="38">
        <f t="shared" si="5"/>
        <v>0</v>
      </c>
      <c r="H27" s="176">
        <f t="shared" si="5"/>
        <v>0</v>
      </c>
      <c r="I27" s="37">
        <f t="shared" si="5"/>
        <v>0</v>
      </c>
      <c r="J27" s="176">
        <f t="shared" si="5"/>
        <v>0</v>
      </c>
      <c r="K27" s="38">
        <f t="shared" si="5"/>
        <v>0</v>
      </c>
      <c r="L27" s="41">
        <f t="shared" si="5"/>
        <v>0</v>
      </c>
    </row>
    <row r="28" spans="1:12" ht="12.75" customHeight="1" x14ac:dyDescent="0.2">
      <c r="A28" s="250">
        <v>16</v>
      </c>
      <c r="B28" s="796" t="s">
        <v>262</v>
      </c>
      <c r="C28" s="797"/>
      <c r="D28" s="143">
        <v>5390</v>
      </c>
      <c r="E28" s="38">
        <f>+'3. Proposed Cash Flow -171'!F27</f>
        <v>0</v>
      </c>
      <c r="F28" s="87">
        <f>(L28-J28)*IF(' 2. Checklist and Cert - 170'!$L$5=0,' 2. Checklist and Cert - 170'!$L$4,' 2. Checklist and Cert - 170'!$L$5)</f>
        <v>0</v>
      </c>
      <c r="G28" s="38">
        <f>+'3. Proposed Cash Flow -171'!G27</f>
        <v>0</v>
      </c>
      <c r="H28" s="176">
        <f>L28-F28-J28</f>
        <v>0</v>
      </c>
      <c r="I28" s="38">
        <f>+'3. Proposed Cash Flow -171'!H27</f>
        <v>0</v>
      </c>
      <c r="J28" s="429">
        <f>IF($P$11=TRUE,I28,0)</f>
        <v>0</v>
      </c>
      <c r="K28" s="38">
        <f>+E28+G28+I28</f>
        <v>0</v>
      </c>
      <c r="L28" s="431">
        <f>IF($Q$11=TRUE,K28,0)</f>
        <v>0</v>
      </c>
    </row>
    <row r="29" spans="1:12" ht="12.75" customHeight="1" x14ac:dyDescent="0.2">
      <c r="A29" s="249"/>
      <c r="B29" s="655" t="s">
        <v>67</v>
      </c>
      <c r="C29" s="653"/>
      <c r="D29" s="142"/>
      <c r="E29" s="28"/>
      <c r="F29" s="89"/>
      <c r="G29" s="28"/>
      <c r="H29" s="175"/>
      <c r="I29" s="28"/>
      <c r="J29" s="175"/>
      <c r="K29" s="28"/>
      <c r="L29" s="89"/>
    </row>
    <row r="30" spans="1:12" ht="12.75" customHeight="1" x14ac:dyDescent="0.2">
      <c r="A30" s="249">
        <v>17</v>
      </c>
      <c r="B30" s="644" t="s">
        <v>115</v>
      </c>
      <c r="C30" s="645"/>
      <c r="D30" s="142">
        <v>5410</v>
      </c>
      <c r="E30" s="28">
        <f>+'3. Proposed Cash Flow -171'!F29</f>
        <v>0</v>
      </c>
      <c r="F30" s="89">
        <f>(L30-J30)*IF(' 2. Checklist and Cert - 170'!$L$5=0,' 2. Checklist and Cert - 170'!$L$4,' 2. Checklist and Cert - 170'!$L$5)</f>
        <v>0</v>
      </c>
      <c r="G30" s="28">
        <f>+'3. Proposed Cash Flow -171'!G29</f>
        <v>0</v>
      </c>
      <c r="H30" s="175">
        <f>L30-F30-J30</f>
        <v>0</v>
      </c>
      <c r="I30" s="28">
        <f>+'3. Proposed Cash Flow -171'!H29</f>
        <v>0</v>
      </c>
      <c r="J30" s="429">
        <f>IF($P$11=TRUE,I30,0)</f>
        <v>0</v>
      </c>
      <c r="K30" s="28">
        <f>+E30+G30+I30</f>
        <v>0</v>
      </c>
      <c r="L30" s="434">
        <f>IF($Q$11=TRUE,K30,0)</f>
        <v>0</v>
      </c>
    </row>
    <row r="31" spans="1:12" ht="12.75" customHeight="1" x14ac:dyDescent="0.2">
      <c r="A31" s="249">
        <v>18</v>
      </c>
      <c r="B31" s="644" t="s">
        <v>208</v>
      </c>
      <c r="C31" s="645"/>
      <c r="D31" s="142">
        <v>5490</v>
      </c>
      <c r="E31" s="28">
        <f>+'3. Proposed Cash Flow -171'!F30</f>
        <v>0</v>
      </c>
      <c r="F31" s="89">
        <f>(L31-J31)*IF(' 2. Checklist and Cert - 170'!$L$5=0,' 2. Checklist and Cert - 170'!$L$4,' 2. Checklist and Cert - 170'!$L$5)</f>
        <v>0</v>
      </c>
      <c r="G31" s="28">
        <f>+'3. Proposed Cash Flow -171'!G30</f>
        <v>0</v>
      </c>
      <c r="H31" s="175">
        <f>L31-F31-J31</f>
        <v>0</v>
      </c>
      <c r="I31" s="28">
        <f>+'3. Proposed Cash Flow -171'!H30</f>
        <v>0</v>
      </c>
      <c r="J31" s="429">
        <f>IF($P$11=TRUE,I31,0)</f>
        <v>0</v>
      </c>
      <c r="K31" s="28">
        <f>+E31+G31+I31</f>
        <v>0</v>
      </c>
      <c r="L31" s="434">
        <v>0</v>
      </c>
    </row>
    <row r="32" spans="1:12" ht="12.75" customHeight="1" x14ac:dyDescent="0.2">
      <c r="A32" s="250">
        <v>19</v>
      </c>
      <c r="B32" s="672" t="s">
        <v>210</v>
      </c>
      <c r="C32" s="673"/>
      <c r="D32" s="143" t="s">
        <v>209</v>
      </c>
      <c r="E32" s="38">
        <f t="shared" ref="E32:L32" si="6">SUM(E30:E31)</f>
        <v>0</v>
      </c>
      <c r="F32" s="87">
        <f t="shared" si="6"/>
        <v>0</v>
      </c>
      <c r="G32" s="38">
        <f t="shared" si="6"/>
        <v>0</v>
      </c>
      <c r="H32" s="176">
        <f t="shared" si="6"/>
        <v>0</v>
      </c>
      <c r="I32" s="38">
        <f t="shared" si="6"/>
        <v>0</v>
      </c>
      <c r="J32" s="176">
        <f t="shared" si="6"/>
        <v>0</v>
      </c>
      <c r="K32" s="38">
        <f t="shared" si="6"/>
        <v>0</v>
      </c>
      <c r="L32" s="87">
        <f t="shared" si="6"/>
        <v>0</v>
      </c>
    </row>
    <row r="33" spans="1:13" ht="12.75" customHeight="1" x14ac:dyDescent="0.2">
      <c r="A33" s="249"/>
      <c r="B33" s="649" t="s">
        <v>68</v>
      </c>
      <c r="C33" s="800"/>
      <c r="D33" s="142"/>
      <c r="E33" s="28"/>
      <c r="F33" s="89"/>
      <c r="G33" s="319"/>
      <c r="H33" s="175"/>
      <c r="I33" s="28"/>
      <c r="J33" s="175"/>
      <c r="K33" s="28"/>
      <c r="L33" s="89"/>
    </row>
    <row r="34" spans="1:13" ht="12.75" customHeight="1" x14ac:dyDescent="0.2">
      <c r="A34" s="249">
        <v>20</v>
      </c>
      <c r="B34" s="644" t="s">
        <v>36</v>
      </c>
      <c r="C34" s="645"/>
      <c r="D34" s="142">
        <v>5910</v>
      </c>
      <c r="E34" s="28">
        <f>+'3. Proposed Cash Flow -171'!F33</f>
        <v>0</v>
      </c>
      <c r="F34" s="89">
        <f>(L34-J34)*IF(' 2. Checklist and Cert - 170'!$L$5=0,' 2. Checklist and Cert - 170'!$L$4,' 2. Checklist and Cert - 170'!$L$5)</f>
        <v>0</v>
      </c>
      <c r="G34" s="28">
        <f>+'3. Proposed Cash Flow -171'!G33</f>
        <v>0</v>
      </c>
      <c r="H34" s="175">
        <f>L34-F34-J34</f>
        <v>0</v>
      </c>
      <c r="I34" s="28">
        <f>+'3. Proposed Cash Flow -171'!H33</f>
        <v>0</v>
      </c>
      <c r="J34" s="429">
        <f>IF($P$11=TRUE,I34,0)</f>
        <v>0</v>
      </c>
      <c r="K34" s="28">
        <f>+E34+G34+I34</f>
        <v>0</v>
      </c>
      <c r="L34" s="434">
        <f>IF($Q$11=TRUE,K34,0)</f>
        <v>0</v>
      </c>
    </row>
    <row r="35" spans="1:13" ht="12.75" customHeight="1" x14ac:dyDescent="0.2">
      <c r="A35" s="249">
        <v>21</v>
      </c>
      <c r="B35" s="644" t="s">
        <v>202</v>
      </c>
      <c r="C35" s="645"/>
      <c r="D35" s="142">
        <v>5920</v>
      </c>
      <c r="E35" s="28">
        <f>+'3. Proposed Cash Flow -171'!F34</f>
        <v>0</v>
      </c>
      <c r="F35" s="89">
        <f>(L35-J35)*IF(' 2. Checklist and Cert - 170'!$L$5=0,' 2. Checklist and Cert - 170'!$L$4,' 2. Checklist and Cert - 170'!$L$5)</f>
        <v>0</v>
      </c>
      <c r="G35" s="28">
        <f>+'3. Proposed Cash Flow -171'!G34</f>
        <v>0</v>
      </c>
      <c r="H35" s="175">
        <f>L35-F35-J35</f>
        <v>0</v>
      </c>
      <c r="I35" s="28">
        <f>+'3. Proposed Cash Flow -171'!H34</f>
        <v>0</v>
      </c>
      <c r="J35" s="429">
        <f>IF($P$11=TRUE,I35,0)</f>
        <v>0</v>
      </c>
      <c r="K35" s="28">
        <f>+E35+G35+I35</f>
        <v>0</v>
      </c>
      <c r="L35" s="434">
        <f>IF($Q$11=TRUE,K35,0)</f>
        <v>0</v>
      </c>
    </row>
    <row r="36" spans="1:13" ht="12.75" customHeight="1" x14ac:dyDescent="0.2">
      <c r="A36" s="249">
        <v>22</v>
      </c>
      <c r="B36" s="798" t="s">
        <v>113</v>
      </c>
      <c r="C36" s="799"/>
      <c r="D36" s="142">
        <v>5990</v>
      </c>
      <c r="E36" s="28">
        <f>+'3. Proposed Cash Flow -171'!F35</f>
        <v>0</v>
      </c>
      <c r="F36" s="89">
        <f>(L36-J36)*IF(' 2. Checklist and Cert - 170'!$L$5=0,' 2. Checklist and Cert - 170'!$L$4,' 2. Checklist and Cert - 170'!$L$5)</f>
        <v>0</v>
      </c>
      <c r="G36" s="28">
        <f>+'3. Proposed Cash Flow -171'!G35</f>
        <v>0</v>
      </c>
      <c r="H36" s="175">
        <f>L36-F36-J36</f>
        <v>0</v>
      </c>
      <c r="I36" s="28">
        <f>+'3. Proposed Cash Flow -171'!H35</f>
        <v>0</v>
      </c>
      <c r="J36" s="429">
        <f>IF($P$11=TRUE,I36,0)</f>
        <v>0</v>
      </c>
      <c r="K36" s="28">
        <f>+E36+G36+I36</f>
        <v>0</v>
      </c>
      <c r="L36" s="434">
        <f>IF($Q$11=TRUE,K36,0)</f>
        <v>0</v>
      </c>
    </row>
    <row r="37" spans="1:13" ht="12.75" customHeight="1" x14ac:dyDescent="0.2">
      <c r="A37" s="250">
        <v>23</v>
      </c>
      <c r="B37" s="699" t="s">
        <v>69</v>
      </c>
      <c r="C37" s="669"/>
      <c r="D37" s="143" t="s">
        <v>70</v>
      </c>
      <c r="E37" s="38">
        <f t="shared" ref="E37:L37" si="7">SUM(E34:E36)</f>
        <v>0</v>
      </c>
      <c r="F37" s="87">
        <f t="shared" si="7"/>
        <v>0</v>
      </c>
      <c r="G37" s="38">
        <f t="shared" si="7"/>
        <v>0</v>
      </c>
      <c r="H37" s="176">
        <f t="shared" si="7"/>
        <v>0</v>
      </c>
      <c r="I37" s="38">
        <f t="shared" si="7"/>
        <v>0</v>
      </c>
      <c r="J37" s="176">
        <f t="shared" si="7"/>
        <v>0</v>
      </c>
      <c r="K37" s="38">
        <f t="shared" si="7"/>
        <v>0</v>
      </c>
      <c r="L37" s="87">
        <f t="shared" si="7"/>
        <v>0</v>
      </c>
    </row>
    <row r="38" spans="1:13" ht="12.75" customHeight="1" x14ac:dyDescent="0.2">
      <c r="A38" s="250">
        <v>24</v>
      </c>
      <c r="B38" s="666" t="s">
        <v>73</v>
      </c>
      <c r="C38" s="667"/>
      <c r="D38" s="143" t="s">
        <v>74</v>
      </c>
      <c r="E38" s="37">
        <f t="shared" ref="E38:L38" si="8">E27+E28+E32+E37</f>
        <v>0</v>
      </c>
      <c r="F38" s="87">
        <f t="shared" si="8"/>
        <v>0</v>
      </c>
      <c r="G38" s="38">
        <f t="shared" si="8"/>
        <v>0</v>
      </c>
      <c r="H38" s="176">
        <f t="shared" si="8"/>
        <v>0</v>
      </c>
      <c r="I38" s="37">
        <f t="shared" si="8"/>
        <v>0</v>
      </c>
      <c r="J38" s="176">
        <f t="shared" si="8"/>
        <v>0</v>
      </c>
      <c r="K38" s="38">
        <f t="shared" si="8"/>
        <v>0</v>
      </c>
      <c r="L38" s="87">
        <f t="shared" si="8"/>
        <v>0</v>
      </c>
    </row>
    <row r="39" spans="1:13" ht="12.75" customHeight="1" x14ac:dyDescent="0.2">
      <c r="A39" s="250">
        <v>25</v>
      </c>
      <c r="B39" s="666" t="s">
        <v>213</v>
      </c>
      <c r="C39" s="667"/>
      <c r="D39" s="143" t="s">
        <v>24</v>
      </c>
      <c r="E39" s="37">
        <f>+'3. Proposed Cash Flow -171'!F38</f>
        <v>0</v>
      </c>
      <c r="F39" s="41">
        <f>'7. Approved Proration - 175'!J64</f>
        <v>0</v>
      </c>
      <c r="G39" s="38">
        <f>+'3. Proposed Cash Flow -171'!G38</f>
        <v>0</v>
      </c>
      <c r="H39" s="176">
        <f>'7. Approved Proration - 175'!K64</f>
        <v>0</v>
      </c>
      <c r="I39" s="37">
        <f>+'3. Proposed Cash Flow -171'!H38</f>
        <v>0</v>
      </c>
      <c r="J39" s="176">
        <f>'7. Approved Proration - 175'!L64</f>
        <v>0</v>
      </c>
      <c r="K39" s="38">
        <f>+E39+G39+I39</f>
        <v>0</v>
      </c>
      <c r="L39" s="41">
        <f>+F39+H39+J39</f>
        <v>0</v>
      </c>
    </row>
    <row r="40" spans="1:13" ht="12.75" customHeight="1" x14ac:dyDescent="0.2">
      <c r="A40" s="250">
        <v>26</v>
      </c>
      <c r="B40" s="666" t="s">
        <v>75</v>
      </c>
      <c r="C40" s="667"/>
      <c r="D40" s="143" t="s">
        <v>76</v>
      </c>
      <c r="E40" s="37">
        <f t="shared" ref="E40:L40" si="9">E38-E39</f>
        <v>0</v>
      </c>
      <c r="F40" s="87">
        <f t="shared" si="9"/>
        <v>0</v>
      </c>
      <c r="G40" s="38">
        <f t="shared" si="9"/>
        <v>0</v>
      </c>
      <c r="H40" s="176">
        <f t="shared" si="9"/>
        <v>0</v>
      </c>
      <c r="I40" s="37">
        <f t="shared" si="9"/>
        <v>0</v>
      </c>
      <c r="J40" s="176">
        <f t="shared" si="9"/>
        <v>0</v>
      </c>
      <c r="K40" s="38">
        <f t="shared" si="9"/>
        <v>0</v>
      </c>
      <c r="L40" s="87">
        <f t="shared" si="9"/>
        <v>0</v>
      </c>
    </row>
    <row r="41" spans="1:13" ht="12.75" customHeight="1" x14ac:dyDescent="0.2">
      <c r="A41" s="251"/>
      <c r="B41" s="655" t="s">
        <v>205</v>
      </c>
      <c r="C41" s="653"/>
      <c r="D41" s="145"/>
      <c r="E41" s="28"/>
      <c r="F41" s="89"/>
      <c r="G41" s="28"/>
      <c r="H41" s="175"/>
      <c r="I41" s="28"/>
      <c r="J41" s="175"/>
      <c r="K41" s="28"/>
      <c r="L41" s="89"/>
    </row>
    <row r="42" spans="1:13" ht="12.75" customHeight="1" x14ac:dyDescent="0.2">
      <c r="A42" s="251">
        <v>27</v>
      </c>
      <c r="B42" s="113" t="s">
        <v>102</v>
      </c>
      <c r="C42" s="435" t="str">
        <f>+IF('3. Proposed Cash Flow -171'!C41=0," ",'3. Proposed Cash Flow -171'!C41)</f>
        <v xml:space="preserve"> </v>
      </c>
      <c r="D42" s="20">
        <v>6820</v>
      </c>
      <c r="E42" s="28">
        <f>+'3. Proposed Cash Flow -171'!F41</f>
        <v>0</v>
      </c>
      <c r="F42" s="89">
        <f>(L42-J42)*IF(' 2. Checklist and Cert - 170'!$L$5=0,' 2. Checklist and Cert - 170'!$L$4,' 2. Checklist and Cert - 170'!$L$5)</f>
        <v>0</v>
      </c>
      <c r="G42" s="28">
        <f>+'3. Proposed Cash Flow -171'!G41</f>
        <v>0</v>
      </c>
      <c r="H42" s="175">
        <f t="shared" ref="H42:H47" si="10">L42-F42-J42</f>
        <v>0</v>
      </c>
      <c r="I42" s="28">
        <f>+'3. Proposed Cash Flow -171'!H41</f>
        <v>0</v>
      </c>
      <c r="J42" s="429">
        <f t="shared" ref="J42:J47" si="11">IF($P$11=TRUE,I42,0)</f>
        <v>0</v>
      </c>
      <c r="K42" s="28">
        <f t="shared" ref="K42:K47" si="12">+E42+G42+I42</f>
        <v>0</v>
      </c>
      <c r="L42" s="434">
        <f t="shared" ref="L42:L47" si="13">IF($Q$11=TRUE,K42,0)</f>
        <v>0</v>
      </c>
      <c r="M42" s="4"/>
    </row>
    <row r="43" spans="1:13" ht="12.75" customHeight="1" x14ac:dyDescent="0.2">
      <c r="A43" s="251">
        <v>28</v>
      </c>
      <c r="B43" s="113" t="s">
        <v>103</v>
      </c>
      <c r="C43" s="435" t="str">
        <f>+IF('3. Proposed Cash Flow -171'!C42=0," ",'3. Proposed Cash Flow -171'!C42)</f>
        <v xml:space="preserve"> </v>
      </c>
      <c r="D43" s="20">
        <v>6825</v>
      </c>
      <c r="E43" s="28">
        <f>+'3. Proposed Cash Flow -171'!F42</f>
        <v>0</v>
      </c>
      <c r="F43" s="89">
        <f>(L43-J43)*IF(' 2. Checklist and Cert - 170'!$L$5=0,' 2. Checklist and Cert - 170'!$L$4,' 2. Checklist and Cert - 170'!$L$5)</f>
        <v>0</v>
      </c>
      <c r="G43" s="28">
        <f>+'3. Proposed Cash Flow -171'!G42</f>
        <v>0</v>
      </c>
      <c r="H43" s="175">
        <f t="shared" si="10"/>
        <v>0</v>
      </c>
      <c r="I43" s="28">
        <f>+'3. Proposed Cash Flow -171'!H42</f>
        <v>0</v>
      </c>
      <c r="J43" s="429">
        <f t="shared" si="11"/>
        <v>0</v>
      </c>
      <c r="K43" s="28">
        <f t="shared" si="12"/>
        <v>0</v>
      </c>
      <c r="L43" s="434">
        <f t="shared" si="13"/>
        <v>0</v>
      </c>
      <c r="M43" s="4" t="str">
        <f>+IF('3. Proposed Cash Flow -171'!C42=0," ",'3. Proposed Cash Flow -171'!C42)</f>
        <v xml:space="preserve"> </v>
      </c>
    </row>
    <row r="44" spans="1:13" ht="12.75" customHeight="1" x14ac:dyDescent="0.2">
      <c r="A44" s="251">
        <v>29</v>
      </c>
      <c r="B44" s="113" t="s">
        <v>104</v>
      </c>
      <c r="C44" s="435" t="str">
        <f>+IF('3. Proposed Cash Flow -171'!C43=0," ",'3. Proposed Cash Flow -171'!C43)</f>
        <v xml:space="preserve"> </v>
      </c>
      <c r="D44" s="20">
        <v>6825</v>
      </c>
      <c r="E44" s="28">
        <f>+'3. Proposed Cash Flow -171'!F43</f>
        <v>0</v>
      </c>
      <c r="F44" s="89">
        <f>(L44-J44)*IF(' 2. Checklist and Cert - 170'!$L$5=0,' 2. Checklist and Cert - 170'!$L$4,' 2. Checklist and Cert - 170'!$L$5)</f>
        <v>0</v>
      </c>
      <c r="G44" s="28">
        <f>+'3. Proposed Cash Flow -171'!G43</f>
        <v>0</v>
      </c>
      <c r="H44" s="175">
        <f t="shared" si="10"/>
        <v>0</v>
      </c>
      <c r="I44" s="28">
        <f>+'3. Proposed Cash Flow -171'!H43</f>
        <v>0</v>
      </c>
      <c r="J44" s="429">
        <f t="shared" si="11"/>
        <v>0</v>
      </c>
      <c r="K44" s="28">
        <f t="shared" si="12"/>
        <v>0</v>
      </c>
      <c r="L44" s="434">
        <f t="shared" si="13"/>
        <v>0</v>
      </c>
      <c r="M44" s="4" t="str">
        <f>+IF('3. Proposed Cash Flow -171'!C43=0," ",'3. Proposed Cash Flow -171'!C43)</f>
        <v xml:space="preserve"> </v>
      </c>
    </row>
    <row r="45" spans="1:13" ht="12.75" customHeight="1" x14ac:dyDescent="0.2">
      <c r="A45" s="251">
        <v>30</v>
      </c>
      <c r="B45" s="644" t="s">
        <v>320</v>
      </c>
      <c r="C45" s="645"/>
      <c r="D45" s="20">
        <v>6825</v>
      </c>
      <c r="E45" s="28">
        <f>+'3. Proposed Cash Flow -171'!F44</f>
        <v>0</v>
      </c>
      <c r="F45" s="89">
        <f>(L45-J45)*IF(' 2. Checklist and Cert - 170'!$L$5=0,' 2. Checklist and Cert - 170'!$L$4,' 2. Checklist and Cert - 170'!$L$5)</f>
        <v>0</v>
      </c>
      <c r="G45" s="28">
        <f>+'3. Proposed Cash Flow -171'!G44</f>
        <v>0</v>
      </c>
      <c r="H45" s="175">
        <f t="shared" si="10"/>
        <v>0</v>
      </c>
      <c r="I45" s="28">
        <f>+'3. Proposed Cash Flow -171'!H44</f>
        <v>0</v>
      </c>
      <c r="J45" s="429">
        <f t="shared" si="11"/>
        <v>0</v>
      </c>
      <c r="K45" s="28">
        <f t="shared" si="12"/>
        <v>0</v>
      </c>
      <c r="L45" s="434">
        <f t="shared" si="13"/>
        <v>0</v>
      </c>
    </row>
    <row r="46" spans="1:13" ht="12.75" customHeight="1" x14ac:dyDescent="0.2">
      <c r="A46" s="251">
        <v>31</v>
      </c>
      <c r="B46" s="644" t="s">
        <v>37</v>
      </c>
      <c r="C46" s="645"/>
      <c r="D46" s="20">
        <v>6890</v>
      </c>
      <c r="E46" s="28">
        <f>+'3. Proposed Cash Flow -171'!F45</f>
        <v>0</v>
      </c>
      <c r="F46" s="89">
        <f>(L46-J46)*IF(' 2. Checklist and Cert - 170'!$L$5=0,' 2. Checklist and Cert - 170'!$L$4,' 2. Checklist and Cert - 170'!$L$5)</f>
        <v>0</v>
      </c>
      <c r="G46" s="28">
        <f>+'3. Proposed Cash Flow -171'!G45</f>
        <v>0</v>
      </c>
      <c r="H46" s="175">
        <f t="shared" si="10"/>
        <v>0</v>
      </c>
      <c r="I46" s="28">
        <f>+'3. Proposed Cash Flow -171'!H45</f>
        <v>0</v>
      </c>
      <c r="J46" s="429">
        <f t="shared" si="11"/>
        <v>0</v>
      </c>
      <c r="K46" s="28">
        <f t="shared" si="12"/>
        <v>0</v>
      </c>
      <c r="L46" s="434">
        <f t="shared" si="13"/>
        <v>0</v>
      </c>
    </row>
    <row r="47" spans="1:13" ht="12.75" customHeight="1" x14ac:dyDescent="0.2">
      <c r="A47" s="251">
        <v>32</v>
      </c>
      <c r="B47" s="644" t="s">
        <v>96</v>
      </c>
      <c r="C47" s="645"/>
      <c r="D47" s="62">
        <v>6890</v>
      </c>
      <c r="E47" s="28">
        <f>+'3. Proposed Cash Flow -171'!F46</f>
        <v>0</v>
      </c>
      <c r="F47" s="89">
        <f>(L47-J47)*IF(' 2. Checklist and Cert - 170'!$L$5=0,' 2. Checklist and Cert - 170'!$L$4,' 2. Checklist and Cert - 170'!$L$5)</f>
        <v>0</v>
      </c>
      <c r="G47" s="28">
        <f>+'3. Proposed Cash Flow -171'!G46</f>
        <v>0</v>
      </c>
      <c r="H47" s="175">
        <f t="shared" si="10"/>
        <v>0</v>
      </c>
      <c r="I47" s="28">
        <f>+'3. Proposed Cash Flow -171'!H46</f>
        <v>0</v>
      </c>
      <c r="J47" s="429">
        <f t="shared" si="11"/>
        <v>0</v>
      </c>
      <c r="K47" s="28">
        <f t="shared" si="12"/>
        <v>0</v>
      </c>
      <c r="L47" s="434">
        <f t="shared" si="13"/>
        <v>0</v>
      </c>
    </row>
    <row r="48" spans="1:13" ht="12.75" customHeight="1" x14ac:dyDescent="0.2">
      <c r="A48" s="266">
        <v>33</v>
      </c>
      <c r="B48" s="699" t="s">
        <v>97</v>
      </c>
      <c r="C48" s="669"/>
      <c r="D48" s="143" t="s">
        <v>98</v>
      </c>
      <c r="E48" s="38">
        <f t="shared" ref="E48:L48" si="14">SUM(E42:E47)</f>
        <v>0</v>
      </c>
      <c r="F48" s="87">
        <f t="shared" si="14"/>
        <v>0</v>
      </c>
      <c r="G48" s="38">
        <f t="shared" si="14"/>
        <v>0</v>
      </c>
      <c r="H48" s="176">
        <f t="shared" si="14"/>
        <v>0</v>
      </c>
      <c r="I48" s="38">
        <f t="shared" si="14"/>
        <v>0</v>
      </c>
      <c r="J48" s="176">
        <f t="shared" si="14"/>
        <v>0</v>
      </c>
      <c r="K48" s="38">
        <f t="shared" si="14"/>
        <v>0</v>
      </c>
      <c r="L48" s="87">
        <f t="shared" si="14"/>
        <v>0</v>
      </c>
    </row>
    <row r="49" spans="1:13" ht="12.75" customHeight="1" x14ac:dyDescent="0.2">
      <c r="A49" s="249"/>
      <c r="B49" s="652" t="s">
        <v>101</v>
      </c>
      <c r="C49" s="653"/>
      <c r="D49" s="142"/>
      <c r="E49" s="28"/>
      <c r="F49" s="89"/>
      <c r="G49" s="28"/>
      <c r="H49" s="175"/>
      <c r="I49" s="28"/>
      <c r="J49" s="175"/>
      <c r="K49" s="28"/>
      <c r="L49" s="89"/>
    </row>
    <row r="50" spans="1:13" ht="12.75" customHeight="1" x14ac:dyDescent="0.2">
      <c r="A50" s="249">
        <v>34</v>
      </c>
      <c r="B50" s="644" t="s">
        <v>93</v>
      </c>
      <c r="C50" s="645"/>
      <c r="D50" s="20">
        <v>1320</v>
      </c>
      <c r="E50" s="28">
        <f>+'3. Proposed Cash Flow -171'!F49</f>
        <v>0</v>
      </c>
      <c r="F50" s="89">
        <f>(L50-J50)*IF(' 2. Checklist and Cert - 170'!$L$5=0,' 2. Checklist and Cert - 170'!$L$4,' 2. Checklist and Cert - 170'!$L$5)</f>
        <v>0</v>
      </c>
      <c r="G50" s="28">
        <f>+'3. Proposed Cash Flow -171'!G49</f>
        <v>0</v>
      </c>
      <c r="H50" s="175">
        <f>L50-F50-J50</f>
        <v>0</v>
      </c>
      <c r="I50" s="28">
        <f>+'3. Proposed Cash Flow -171'!H49</f>
        <v>0</v>
      </c>
      <c r="J50" s="429">
        <f>IF($P$11=TRUE,I50,0)</f>
        <v>0</v>
      </c>
      <c r="K50" s="28">
        <f>+E50+G50+I50</f>
        <v>0</v>
      </c>
      <c r="L50" s="434">
        <f>IF($Q$11=TRUE,K50,0)</f>
        <v>0</v>
      </c>
    </row>
    <row r="51" spans="1:13" ht="12.75" customHeight="1" x14ac:dyDescent="0.2">
      <c r="A51" s="249">
        <v>35</v>
      </c>
      <c r="B51" s="644" t="s">
        <v>94</v>
      </c>
      <c r="C51" s="645"/>
      <c r="D51" s="20">
        <v>1330</v>
      </c>
      <c r="E51" s="28">
        <f>+'3. Proposed Cash Flow -171'!F50</f>
        <v>0</v>
      </c>
      <c r="F51" s="89">
        <f>(L51-J51)*IF(' 2. Checklist and Cert - 170'!$L$5=0,' 2. Checklist and Cert - 170'!$L$4,' 2. Checklist and Cert - 170'!$L$5)</f>
        <v>0</v>
      </c>
      <c r="G51" s="28">
        <f>+'3. Proposed Cash Flow -171'!G50</f>
        <v>0</v>
      </c>
      <c r="H51" s="175">
        <f>L51-F51-J51</f>
        <v>0</v>
      </c>
      <c r="I51" s="28">
        <f>+'3. Proposed Cash Flow -171'!H50</f>
        <v>0</v>
      </c>
      <c r="J51" s="429">
        <f>IF($P$11=TRUE,I51,0)</f>
        <v>0</v>
      </c>
      <c r="K51" s="28">
        <f>+E51+G51+I51</f>
        <v>0</v>
      </c>
      <c r="L51" s="434">
        <f>IF($Q$11=TRUE,K51,0)</f>
        <v>0</v>
      </c>
    </row>
    <row r="52" spans="1:13" ht="12.75" customHeight="1" x14ac:dyDescent="0.2">
      <c r="A52" s="249">
        <v>36</v>
      </c>
      <c r="B52" s="644" t="s">
        <v>95</v>
      </c>
      <c r="C52" s="645"/>
      <c r="D52" s="20">
        <v>1330</v>
      </c>
      <c r="E52" s="28">
        <f>+'3. Proposed Cash Flow -171'!F51</f>
        <v>0</v>
      </c>
      <c r="F52" s="89">
        <f>(L52-J52)*IF(' 2. Checklist and Cert - 170'!$L$5=0,' 2. Checklist and Cert - 170'!$L$4,' 2. Checklist and Cert - 170'!$L$5)</f>
        <v>0</v>
      </c>
      <c r="G52" s="28">
        <f>+'3. Proposed Cash Flow -171'!G51</f>
        <v>0</v>
      </c>
      <c r="H52" s="175">
        <f>L52-F52-J52</f>
        <v>0</v>
      </c>
      <c r="I52" s="28">
        <f>+'3. Proposed Cash Flow -171'!H51</f>
        <v>0</v>
      </c>
      <c r="J52" s="429">
        <f>IF($P$11=TRUE,I52,0)</f>
        <v>0</v>
      </c>
      <c r="K52" s="28">
        <f>+E52+G52+I52</f>
        <v>0</v>
      </c>
      <c r="L52" s="434">
        <f>IF($Q$11=TRUE,K52,0)</f>
        <v>0</v>
      </c>
    </row>
    <row r="53" spans="1:13" ht="12.75" customHeight="1" x14ac:dyDescent="0.2">
      <c r="A53" s="249">
        <v>37</v>
      </c>
      <c r="B53" s="12" t="s">
        <v>38</v>
      </c>
      <c r="C53" s="435" t="str">
        <f>+IF('3. Proposed Cash Flow -171'!C52=0," ",'3. Proposed Cash Flow -171'!C52)</f>
        <v xml:space="preserve"> </v>
      </c>
      <c r="D53" s="20">
        <v>1330</v>
      </c>
      <c r="E53" s="28">
        <f>+'3. Proposed Cash Flow -171'!F52</f>
        <v>0</v>
      </c>
      <c r="F53" s="89">
        <f>(L53-J53)*IF(' 2. Checklist and Cert - 170'!$L$5=0,' 2. Checklist and Cert - 170'!$L$4,' 2. Checklist and Cert - 170'!$L$5)</f>
        <v>0</v>
      </c>
      <c r="G53" s="28">
        <f>+'3. Proposed Cash Flow -171'!G52</f>
        <v>0</v>
      </c>
      <c r="H53" s="175">
        <f>L53-F53-J53</f>
        <v>0</v>
      </c>
      <c r="I53" s="28">
        <f>+'3. Proposed Cash Flow -171'!H52</f>
        <v>0</v>
      </c>
      <c r="J53" s="429">
        <f>IF($P$11=TRUE,I53,0)</f>
        <v>0</v>
      </c>
      <c r="K53" s="28">
        <f>+E53+G53+I53</f>
        <v>0</v>
      </c>
      <c r="L53" s="434">
        <f>IF($Q$11=TRUE,K53,0)</f>
        <v>0</v>
      </c>
      <c r="M53" s="4" t="str">
        <f>+IF('3. Proposed Cash Flow -171'!C52=0," ",'3. Proposed Cash Flow -171'!C52)</f>
        <v xml:space="preserve"> </v>
      </c>
    </row>
    <row r="54" spans="1:13" ht="12.75" customHeight="1" x14ac:dyDescent="0.2">
      <c r="A54" s="249">
        <v>38</v>
      </c>
      <c r="B54" s="12" t="s">
        <v>38</v>
      </c>
      <c r="C54" s="435" t="str">
        <f>+IF('3. Proposed Cash Flow -171'!C53=0," ",'3. Proposed Cash Flow -171'!C53)</f>
        <v xml:space="preserve"> </v>
      </c>
      <c r="D54" s="20">
        <v>1330</v>
      </c>
      <c r="E54" s="28">
        <f>+'3. Proposed Cash Flow -171'!F53</f>
        <v>0</v>
      </c>
      <c r="F54" s="89">
        <f>(L54-J54)*IF(' 2. Checklist and Cert - 170'!$L$5=0,' 2. Checklist and Cert - 170'!$L$4,' 2. Checklist and Cert - 170'!$L$5)</f>
        <v>0</v>
      </c>
      <c r="G54" s="28">
        <f>+'3. Proposed Cash Flow -171'!G53</f>
        <v>0</v>
      </c>
      <c r="H54" s="175">
        <f>L54-F54-J54</f>
        <v>0</v>
      </c>
      <c r="I54" s="28">
        <f>+'3. Proposed Cash Flow -171'!H53</f>
        <v>0</v>
      </c>
      <c r="J54" s="429">
        <f>IF($P$11=TRUE,I54,0)</f>
        <v>0</v>
      </c>
      <c r="K54" s="28">
        <f>+E54+G54+I54</f>
        <v>0</v>
      </c>
      <c r="L54" s="434">
        <f>IF($Q$11=TRUE,K54,0)</f>
        <v>0</v>
      </c>
      <c r="M54" s="4" t="str">
        <f>+IF('3. Proposed Cash Flow -171'!C53=0," ",'3. Proposed Cash Flow -171'!C53)</f>
        <v xml:space="preserve"> </v>
      </c>
    </row>
    <row r="55" spans="1:13" ht="12.75" customHeight="1" x14ac:dyDescent="0.2">
      <c r="A55" s="250">
        <v>39</v>
      </c>
      <c r="B55" s="699" t="s">
        <v>99</v>
      </c>
      <c r="C55" s="669"/>
      <c r="D55" s="148" t="s">
        <v>100</v>
      </c>
      <c r="E55" s="38">
        <f t="shared" ref="E55:L55" si="15">SUM(E50:E54)</f>
        <v>0</v>
      </c>
      <c r="F55" s="87">
        <f t="shared" si="15"/>
        <v>0</v>
      </c>
      <c r="G55" s="38">
        <f t="shared" si="15"/>
        <v>0</v>
      </c>
      <c r="H55" s="176">
        <f t="shared" si="15"/>
        <v>0</v>
      </c>
      <c r="I55" s="38">
        <f t="shared" si="15"/>
        <v>0</v>
      </c>
      <c r="J55" s="176">
        <f t="shared" si="15"/>
        <v>0</v>
      </c>
      <c r="K55" s="38">
        <f t="shared" si="15"/>
        <v>0</v>
      </c>
      <c r="L55" s="87">
        <f t="shared" si="15"/>
        <v>0</v>
      </c>
    </row>
    <row r="56" spans="1:13" ht="12.75" customHeight="1" x14ac:dyDescent="0.2">
      <c r="A56" s="250">
        <v>40</v>
      </c>
      <c r="B56" s="699" t="s">
        <v>86</v>
      </c>
      <c r="C56" s="669"/>
      <c r="D56" s="143"/>
      <c r="E56" s="38">
        <f t="shared" ref="E56:L56" si="16">E40-E48-E55</f>
        <v>0</v>
      </c>
      <c r="F56" s="87">
        <f t="shared" si="16"/>
        <v>0</v>
      </c>
      <c r="G56" s="38">
        <f t="shared" si="16"/>
        <v>0</v>
      </c>
      <c r="H56" s="176">
        <f t="shared" si="16"/>
        <v>0</v>
      </c>
      <c r="I56" s="38">
        <f t="shared" si="16"/>
        <v>0</v>
      </c>
      <c r="J56" s="176">
        <f t="shared" si="16"/>
        <v>0</v>
      </c>
      <c r="K56" s="38">
        <f t="shared" si="16"/>
        <v>0</v>
      </c>
      <c r="L56" s="87">
        <f t="shared" si="16"/>
        <v>0</v>
      </c>
    </row>
    <row r="57" spans="1:13" ht="12.75" customHeight="1" x14ac:dyDescent="0.2">
      <c r="A57" s="248"/>
      <c r="B57" s="51" t="s">
        <v>227</v>
      </c>
      <c r="C57" s="52"/>
      <c r="D57" s="146"/>
      <c r="E57" s="28"/>
      <c r="F57" s="89"/>
      <c r="G57" s="28"/>
      <c r="H57" s="175"/>
      <c r="I57" s="28"/>
      <c r="J57" s="175"/>
      <c r="K57" s="28"/>
      <c r="L57" s="89"/>
    </row>
    <row r="58" spans="1:13" ht="12.75" customHeight="1" x14ac:dyDescent="0.2">
      <c r="A58" s="249">
        <v>41</v>
      </c>
      <c r="B58" s="644" t="s">
        <v>55</v>
      </c>
      <c r="C58" s="645"/>
      <c r="D58" s="146"/>
      <c r="E58" s="28">
        <f>+'3. Proposed Cash Flow -171'!F57</f>
        <v>0</v>
      </c>
      <c r="F58" s="89">
        <f>(L58-J58)*IF(' 2. Checklist and Cert - 170'!$L$5=0,' 2. Checklist and Cert - 170'!$L$4,' 2. Checklist and Cert - 170'!$L$5)</f>
        <v>0</v>
      </c>
      <c r="G58" s="28">
        <f>+'3. Proposed Cash Flow -171'!G57</f>
        <v>0</v>
      </c>
      <c r="H58" s="175">
        <f>L58-F58-J58</f>
        <v>0</v>
      </c>
      <c r="I58" s="28">
        <f>+'3. Proposed Cash Flow -171'!H57</f>
        <v>0</v>
      </c>
      <c r="J58" s="429">
        <f>IF($P$11=TRUE,I58,0)</f>
        <v>0</v>
      </c>
      <c r="K58" s="28">
        <f>+E58+G58+I58</f>
        <v>0</v>
      </c>
      <c r="L58" s="434">
        <f>IF($Q$11=TRUE,K58,0)</f>
        <v>0</v>
      </c>
    </row>
    <row r="59" spans="1:13" ht="12.75" customHeight="1" x14ac:dyDescent="0.2">
      <c r="A59" s="249">
        <v>42</v>
      </c>
      <c r="B59" s="12" t="s">
        <v>58</v>
      </c>
      <c r="C59" s="435" t="str">
        <f>+IF('3. Proposed Cash Flow -171'!C58=0," ",'3. Proposed Cash Flow -171'!C58)</f>
        <v xml:space="preserve"> </v>
      </c>
      <c r="D59" s="146"/>
      <c r="E59" s="28">
        <f>+'3. Proposed Cash Flow -171'!F58</f>
        <v>0</v>
      </c>
      <c r="F59" s="89">
        <f>(L59-J59)*IF(' 2. Checklist and Cert - 170'!$L$5=0,' 2. Checklist and Cert - 170'!$L$4,' 2. Checklist and Cert - 170'!$L$5)</f>
        <v>0</v>
      </c>
      <c r="G59" s="28">
        <f>+'3. Proposed Cash Flow -171'!G58</f>
        <v>0</v>
      </c>
      <c r="H59" s="175">
        <f>L59-F59-J59</f>
        <v>0</v>
      </c>
      <c r="I59" s="28">
        <f>+'3. Proposed Cash Flow -171'!H58</f>
        <v>0</v>
      </c>
      <c r="J59" s="429">
        <f>IF($P$11=TRUE,I59,0)</f>
        <v>0</v>
      </c>
      <c r="K59" s="28">
        <f>+E59+G59+I59</f>
        <v>0</v>
      </c>
      <c r="L59" s="434">
        <f>IF($Q$11=TRUE,K59,0)</f>
        <v>0</v>
      </c>
    </row>
    <row r="60" spans="1:13" ht="12.75" customHeight="1" x14ac:dyDescent="0.2">
      <c r="A60" s="249">
        <v>43</v>
      </c>
      <c r="B60" s="12" t="s">
        <v>58</v>
      </c>
      <c r="C60" s="435" t="str">
        <f>+IF('3. Proposed Cash Flow -171'!C59=0," ",'3. Proposed Cash Flow -171'!C59)</f>
        <v xml:space="preserve"> </v>
      </c>
      <c r="D60" s="146"/>
      <c r="E60" s="28">
        <f>+'3. Proposed Cash Flow -171'!F59</f>
        <v>0</v>
      </c>
      <c r="F60" s="89">
        <f>(L60-J60)*IF(' 2. Checklist and Cert - 170'!$L$5=0,' 2. Checklist and Cert - 170'!$L$4,' 2. Checklist and Cert - 170'!$L$5)</f>
        <v>0</v>
      </c>
      <c r="G60" s="28">
        <f>+'3. Proposed Cash Flow -171'!G59</f>
        <v>0</v>
      </c>
      <c r="H60" s="175">
        <f>L60-F60-J60</f>
        <v>0</v>
      </c>
      <c r="I60" s="28">
        <f>+'3. Proposed Cash Flow -171'!H59</f>
        <v>0</v>
      </c>
      <c r="J60" s="429">
        <f>IF($P$11=TRUE,I60,0)</f>
        <v>0</v>
      </c>
      <c r="K60" s="28">
        <f>+E60+G60+I60</f>
        <v>0</v>
      </c>
      <c r="L60" s="434">
        <f>IF($Q$11=TRUE,K60,0)</f>
        <v>0</v>
      </c>
    </row>
    <row r="61" spans="1:13" ht="12.75" customHeight="1" x14ac:dyDescent="0.2">
      <c r="A61" s="249">
        <v>44</v>
      </c>
      <c r="B61" s="12" t="s">
        <v>58</v>
      </c>
      <c r="C61" s="435" t="str">
        <f>+IF('3. Proposed Cash Flow -171'!C60=0," ",'3. Proposed Cash Flow -171'!C60)</f>
        <v xml:space="preserve"> </v>
      </c>
      <c r="D61" s="146"/>
      <c r="E61" s="28">
        <f>+'3. Proposed Cash Flow -171'!F60</f>
        <v>0</v>
      </c>
      <c r="F61" s="89">
        <f>(L61-J61)*IF(' 2. Checklist and Cert - 170'!$L$5=0,' 2. Checklist and Cert - 170'!$L$4,' 2. Checklist and Cert - 170'!$L$5)</f>
        <v>0</v>
      </c>
      <c r="G61" s="28">
        <f>+'3. Proposed Cash Flow -171'!G60</f>
        <v>0</v>
      </c>
      <c r="H61" s="175">
        <f>L61-F61-J61</f>
        <v>0</v>
      </c>
      <c r="I61" s="28">
        <f>+'3. Proposed Cash Flow -171'!H60</f>
        <v>0</v>
      </c>
      <c r="J61" s="429">
        <f>IF($P$11=TRUE,I61,0)</f>
        <v>0</v>
      </c>
      <c r="K61" s="28">
        <f>+E61+G61+I61</f>
        <v>0</v>
      </c>
      <c r="L61" s="434">
        <f>IF($Q$11=TRUE,K61,0)</f>
        <v>0</v>
      </c>
      <c r="M61" s="4" t="str">
        <f>+IF('3. Proposed Cash Flow -171'!C60=0," ",'3. Proposed Cash Flow -171'!C60)</f>
        <v xml:space="preserve"> </v>
      </c>
    </row>
    <row r="62" spans="1:13" ht="12.75" customHeight="1" x14ac:dyDescent="0.2">
      <c r="A62" s="250">
        <v>45</v>
      </c>
      <c r="B62" s="246" t="s">
        <v>56</v>
      </c>
      <c r="C62" s="243"/>
      <c r="D62" s="149"/>
      <c r="E62" s="38">
        <f t="shared" ref="E62:L62" si="17">SUM(E58:E61)</f>
        <v>0</v>
      </c>
      <c r="F62" s="87">
        <f t="shared" si="17"/>
        <v>0</v>
      </c>
      <c r="G62" s="38">
        <f t="shared" si="17"/>
        <v>0</v>
      </c>
      <c r="H62" s="176">
        <f t="shared" si="17"/>
        <v>0</v>
      </c>
      <c r="I62" s="38">
        <f t="shared" si="17"/>
        <v>0</v>
      </c>
      <c r="J62" s="176">
        <f t="shared" si="17"/>
        <v>0</v>
      </c>
      <c r="K62" s="38">
        <f t="shared" si="17"/>
        <v>0</v>
      </c>
      <c r="L62" s="87">
        <f t="shared" si="17"/>
        <v>0</v>
      </c>
    </row>
    <row r="63" spans="1:13" ht="12.75" customHeight="1" x14ac:dyDescent="0.2">
      <c r="A63" s="249"/>
      <c r="B63" s="655" t="s">
        <v>253</v>
      </c>
      <c r="C63" s="653"/>
      <c r="D63" s="146"/>
      <c r="E63" s="33"/>
      <c r="F63" s="46"/>
      <c r="G63" s="42"/>
      <c r="H63" s="225"/>
      <c r="I63" s="227"/>
      <c r="J63" s="178"/>
      <c r="K63" s="42"/>
      <c r="L63" s="46"/>
    </row>
    <row r="64" spans="1:13" ht="12.75" customHeight="1" x14ac:dyDescent="0.2">
      <c r="A64" s="249">
        <v>46</v>
      </c>
      <c r="B64" s="644" t="s">
        <v>107</v>
      </c>
      <c r="C64" s="645"/>
      <c r="D64" s="147" t="s">
        <v>32</v>
      </c>
      <c r="E64" s="28">
        <f>+'3. Proposed Cash Flow -171'!F63</f>
        <v>0</v>
      </c>
      <c r="F64" s="89">
        <f>(L64-J64)*IF(' 2. Checklist and Cert - 170'!$L$5=0,' 2. Checklist and Cert - 170'!$L$4,' 2. Checklist and Cert - 170'!$L$5)</f>
        <v>0</v>
      </c>
      <c r="G64" s="28">
        <f>+'3. Proposed Cash Flow -171'!G63</f>
        <v>0</v>
      </c>
      <c r="H64" s="175">
        <f t="shared" ref="H64:H69" si="18">L64-F64-J64</f>
        <v>0</v>
      </c>
      <c r="I64" s="28">
        <f>+'3. Proposed Cash Flow -171'!H63</f>
        <v>0</v>
      </c>
      <c r="J64" s="429">
        <f t="shared" ref="J64:J69" si="19">IF($P$11=TRUE,I64,0)</f>
        <v>0</v>
      </c>
      <c r="K64" s="28">
        <f t="shared" ref="K64:K69" si="20">+E64+G64+I64</f>
        <v>0</v>
      </c>
      <c r="L64" s="434">
        <f t="shared" ref="L64:L69" si="21">IF($Q$11=TRUE,K64,0)</f>
        <v>0</v>
      </c>
    </row>
    <row r="65" spans="1:13" ht="12.75" customHeight="1" x14ac:dyDescent="0.2">
      <c r="A65" s="249">
        <v>47</v>
      </c>
      <c r="B65" s="654" t="s">
        <v>302</v>
      </c>
      <c r="C65" s="645"/>
      <c r="D65" s="142">
        <v>7190</v>
      </c>
      <c r="E65" s="28">
        <f>+'3. Proposed Cash Flow -171'!F64</f>
        <v>0</v>
      </c>
      <c r="F65" s="89">
        <f>(L65-J65)*IF(' 2. Checklist and Cert - 170'!$L$5=0,' 2. Checklist and Cert - 170'!$L$4,' 2. Checklist and Cert - 170'!$L$5)</f>
        <v>0</v>
      </c>
      <c r="G65" s="28">
        <f>+'3. Proposed Cash Flow -171'!G64</f>
        <v>0</v>
      </c>
      <c r="H65" s="175">
        <f t="shared" si="18"/>
        <v>0</v>
      </c>
      <c r="I65" s="28">
        <f>+'3. Proposed Cash Flow -171'!H64</f>
        <v>0</v>
      </c>
      <c r="J65" s="429">
        <f t="shared" si="19"/>
        <v>0</v>
      </c>
      <c r="K65" s="28">
        <f t="shared" si="20"/>
        <v>0</v>
      </c>
      <c r="L65" s="434">
        <f t="shared" si="21"/>
        <v>0</v>
      </c>
    </row>
    <row r="66" spans="1:13" ht="12.75" customHeight="1" x14ac:dyDescent="0.2">
      <c r="A66" s="249">
        <v>48</v>
      </c>
      <c r="B66" s="644" t="s">
        <v>40</v>
      </c>
      <c r="C66" s="645"/>
      <c r="D66" s="150"/>
      <c r="E66" s="28">
        <f>+'3. Proposed Cash Flow -171'!F65</f>
        <v>0</v>
      </c>
      <c r="F66" s="89">
        <f>(L66-J66)*IF(' 2. Checklist and Cert - 170'!$L$5=0,' 2. Checklist and Cert - 170'!$L$4,' 2. Checklist and Cert - 170'!$L$5)</f>
        <v>0</v>
      </c>
      <c r="G66" s="28">
        <f>+'3. Proposed Cash Flow -171'!G65</f>
        <v>0</v>
      </c>
      <c r="H66" s="175">
        <f t="shared" si="18"/>
        <v>0</v>
      </c>
      <c r="I66" s="28">
        <f>+'3. Proposed Cash Flow -171'!H65</f>
        <v>0</v>
      </c>
      <c r="J66" s="429">
        <f t="shared" si="19"/>
        <v>0</v>
      </c>
      <c r="K66" s="28">
        <f t="shared" si="20"/>
        <v>0</v>
      </c>
      <c r="L66" s="434">
        <f t="shared" si="21"/>
        <v>0</v>
      </c>
    </row>
    <row r="67" spans="1:13" ht="12.75" customHeight="1" x14ac:dyDescent="0.2">
      <c r="A67" s="249">
        <v>49</v>
      </c>
      <c r="B67" s="644" t="s">
        <v>41</v>
      </c>
      <c r="C67" s="645"/>
      <c r="D67" s="146"/>
      <c r="E67" s="28">
        <f>+'3. Proposed Cash Flow -171'!F66</f>
        <v>0</v>
      </c>
      <c r="F67" s="89">
        <f>(L67-J67)*IF(' 2. Checklist and Cert - 170'!$L$5=0,' 2. Checklist and Cert - 170'!$L$4,' 2. Checklist and Cert - 170'!$L$5)</f>
        <v>0</v>
      </c>
      <c r="G67" s="28">
        <f>+'3. Proposed Cash Flow -171'!G66</f>
        <v>0</v>
      </c>
      <c r="H67" s="175">
        <f t="shared" si="18"/>
        <v>0</v>
      </c>
      <c r="I67" s="28">
        <f>+'3. Proposed Cash Flow -171'!H66</f>
        <v>0</v>
      </c>
      <c r="J67" s="429">
        <f t="shared" si="19"/>
        <v>0</v>
      </c>
      <c r="K67" s="28">
        <f t="shared" si="20"/>
        <v>0</v>
      </c>
      <c r="L67" s="434">
        <f t="shared" si="21"/>
        <v>0</v>
      </c>
    </row>
    <row r="68" spans="1:13" ht="12.75" customHeight="1" x14ac:dyDescent="0.2">
      <c r="A68" s="249">
        <v>50</v>
      </c>
      <c r="B68" s="644" t="s">
        <v>39</v>
      </c>
      <c r="C68" s="645"/>
      <c r="D68" s="146"/>
      <c r="E68" s="28">
        <f>+'3. Proposed Cash Flow -171'!F67</f>
        <v>0</v>
      </c>
      <c r="F68" s="89">
        <f>(L68-J68)*IF(' 2. Checklist and Cert - 170'!$L$5=0,' 2. Checklist and Cert - 170'!$L$4,' 2. Checklist and Cert - 170'!$L$5)</f>
        <v>0</v>
      </c>
      <c r="G68" s="28">
        <f>+'3. Proposed Cash Flow -171'!G67</f>
        <v>0</v>
      </c>
      <c r="H68" s="175">
        <f t="shared" si="18"/>
        <v>0</v>
      </c>
      <c r="I68" s="28">
        <f>+'3. Proposed Cash Flow -171'!H67</f>
        <v>0</v>
      </c>
      <c r="J68" s="429">
        <f t="shared" si="19"/>
        <v>0</v>
      </c>
      <c r="K68" s="28">
        <f t="shared" si="20"/>
        <v>0</v>
      </c>
      <c r="L68" s="434">
        <f t="shared" si="21"/>
        <v>0</v>
      </c>
    </row>
    <row r="69" spans="1:13" ht="12.75" customHeight="1" x14ac:dyDescent="0.2">
      <c r="A69" s="249">
        <v>51</v>
      </c>
      <c r="B69" s="12" t="s">
        <v>58</v>
      </c>
      <c r="C69" s="435" t="str">
        <f>+IF('3. Proposed Cash Flow -171'!C68=0," ",'3. Proposed Cash Flow -171'!C68)</f>
        <v xml:space="preserve"> </v>
      </c>
      <c r="D69" s="146"/>
      <c r="E69" s="28">
        <f>+'3. Proposed Cash Flow -171'!F68</f>
        <v>0</v>
      </c>
      <c r="F69" s="89">
        <f>(L69-J69)*IF(' 2. Checklist and Cert - 170'!$L$5=0,' 2. Checklist and Cert - 170'!$L$4,' 2. Checklist and Cert - 170'!$L$5)</f>
        <v>0</v>
      </c>
      <c r="G69" s="28">
        <f>+'3. Proposed Cash Flow -171'!G68</f>
        <v>0</v>
      </c>
      <c r="H69" s="175">
        <f t="shared" si="18"/>
        <v>0</v>
      </c>
      <c r="I69" s="28">
        <f>+'3. Proposed Cash Flow -171'!H68</f>
        <v>0</v>
      </c>
      <c r="J69" s="429">
        <f t="shared" si="19"/>
        <v>0</v>
      </c>
      <c r="K69" s="28">
        <f t="shared" si="20"/>
        <v>0</v>
      </c>
      <c r="L69" s="434">
        <f t="shared" si="21"/>
        <v>0</v>
      </c>
      <c r="M69" s="4" t="str">
        <f>+IF('3. Proposed Cash Flow -171'!C68=0," ",'3. Proposed Cash Flow -171'!C68)</f>
        <v xml:space="preserve"> </v>
      </c>
    </row>
    <row r="70" spans="1:13" ht="12.75" customHeight="1" x14ac:dyDescent="0.2">
      <c r="A70" s="250">
        <v>52</v>
      </c>
      <c r="B70" s="699" t="s">
        <v>57</v>
      </c>
      <c r="C70" s="669"/>
      <c r="D70" s="149"/>
      <c r="E70" s="69">
        <f t="shared" ref="E70:L70" si="22">SUM(E64:E69)</f>
        <v>0</v>
      </c>
      <c r="F70" s="70">
        <f t="shared" si="22"/>
        <v>0</v>
      </c>
      <c r="G70" s="38">
        <f t="shared" si="22"/>
        <v>0</v>
      </c>
      <c r="H70" s="226">
        <f t="shared" si="22"/>
        <v>0</v>
      </c>
      <c r="I70" s="228">
        <f t="shared" si="22"/>
        <v>0</v>
      </c>
      <c r="J70" s="176">
        <f t="shared" si="22"/>
        <v>0</v>
      </c>
      <c r="K70" s="38">
        <f t="shared" si="22"/>
        <v>0</v>
      </c>
      <c r="L70" s="70">
        <f t="shared" si="22"/>
        <v>0</v>
      </c>
    </row>
    <row r="71" spans="1:13" ht="93" customHeight="1" thickBot="1" x14ac:dyDescent="0.25">
      <c r="A71" s="801"/>
      <c r="B71" s="802"/>
      <c r="C71" s="802"/>
      <c r="D71" s="802"/>
      <c r="E71" s="802"/>
      <c r="F71" s="802"/>
      <c r="G71" s="802"/>
      <c r="H71" s="802"/>
      <c r="I71" s="802"/>
      <c r="J71" s="802"/>
      <c r="K71" s="802"/>
      <c r="L71" s="803"/>
    </row>
    <row r="72" spans="1:13" ht="13.5" thickTop="1" x14ac:dyDescent="0.2"/>
    <row r="73" spans="1:13" x14ac:dyDescent="0.2"/>
    <row r="74" spans="1:13" x14ac:dyDescent="0.2"/>
    <row r="75" spans="1:13" x14ac:dyDescent="0.2"/>
    <row r="76" spans="1:13" x14ac:dyDescent="0.2"/>
    <row r="77" spans="1:13" x14ac:dyDescent="0.2"/>
    <row r="78" spans="1:13" x14ac:dyDescent="0.2"/>
    <row r="79" spans="1:13" x14ac:dyDescent="0.2"/>
    <row r="80" spans="1:13" x14ac:dyDescent="0.2"/>
    <row r="81" x14ac:dyDescent="0.2"/>
  </sheetData>
  <sheetProtection algorithmName="SHA-512" hashValue="a5zvHx+IL+E09LHLy4gi6Bdyr+6o8kWTiCQcV7j7Iu5tK/YYN4bnn2XHSxURU+Qn9sB1LW8ugPNCOf82RRNFDA==" saltValue="UhNrWFYCvycDutlp+Ca7cA==" spinCount="100000" sheet="1" objects="1" scenarios="1"/>
  <protectedRanges>
    <protectedRange password="CC26" sqref="C6" name="Range1" securityDescriptor="O:WDG:WDD:(A;;CC;;;S-1-5-21-49831181-50866639-1143292059-10685)(A;;CC;;;S-1-5-21-49831181-50866639-1143292059-10686)(A;;CC;;;S-1-5-21-49831181-50866639-1143292059-10701)(A;;CC;;;S-1-5-21-49831181-50866639-1143292059-10774)(A;;CC;;;S-1-5-21-49831181-50866639-1143292059-10896)(A;;CC;;;S-1-5-21-49831181-50866639-1143292059-11312)(A;;CC;;;S-1-5-21-49831181-50866639-1143292059-11496)(A;;CC;;;S-1-5-21-49831181-50866639-1143292059-11502)(A;;CC;;;S-1-5-21-49831181-50866639-1143292059-11690)(A;;CC;;;S-1-5-21-49831181-50866639-1143292059-11877)(A;;CC;;;S-1-5-21-49831181-50866639-1143292059-12057)(A;;CC;;;S-1-5-21-49831181-50866639-1143292059-12358)(A;;CC;;;S-1-5-21-49831181-50866639-1143292059-12909)(A;;CC;;;S-1-5-21-49831181-50866639-1143292059-13413)(A;;CC;;;S-1-5-21-49831181-50866639-1143292059-13416)(A;;CC;;;S-1-5-21-49831181-50866639-1143292059-1389)(A;;CC;;;S-1-5-21-49831181-50866639-1143292059-14616)(A;;CC;;;S-1-5-21-49831181-50866639-1143292059-14618)(A;;CC;;;S-1-5-21-49831181-50866639-1143292059-15366)(A;;CC;;;S-1-5-21-49831181-50866639-1143292059-1582)(A;;CC;;;S-1-5-21-49831181-50866639-1143292059-1670)(A;;CC;;;S-1-5-21-49831181-50866639-1143292059-1760)(A;;CC;;;S-1-5-21-49831181-50866639-1143292059-1765)(A;;CC;;;S-1-5-21-49831181-50866639-1143292059-1770)(A;;CC;;;S-1-5-21-49831181-50866639-1143292059-1935)(A;;CC;;;S-1-5-21-49831181-50866639-1143292059-2306)(A;;CC;;;S-1-5-21-49831181-50866639-1143292059-3388)(A;;CC;;;S-1-5-21-49831181-50866639-1143292059-4453)(A;;CC;;;S-1-5-21-49831181-50866639-1143292059-5848)(A;;CC;;;S-1-5-21-49831181-50866639-1143292059-6863)(A;;CC;;;S-1-5-21-49831181-50866639-1143292059-7118)(A;;CC;;;S-1-5-21-49831181-50866639-1143292059-7272)(A;;CC;;;S-1-5-21-49831181-50866639-1143292059-7311)(A;;CC;;;S-1-5-21-49831181-50866639-1143292059-7328)(A;;CC;;;S-1-5-21-49831181-50866639-1143292059-7713)(A;;CC;;;S-1-5-21-49831181-50866639-1143292059-7770)(A;;CC;;;S-1-5-21-49831181-50866639-1143292059-8018)(A;;CC;;;S-1-5-21-49831181-50866639-1143292059-8023)(A;;CC;;;S-1-5-21-49831181-50866639-1143292059-8320)(A;;CC;;;S-1-5-21-49831181-50866639-1143292059-8739)(A;;CC;;;S-1-5-21-49831181-50866639-1143292059-8741)(A;;CC;;;S-1-5-21-49831181-50866639-1143292059-8748)(A;;CC;;;S-1-5-21-49831181-50866639-1143292059-8749)(A;;CC;;;S-1-5-21-49831181-50866639-1143292059-8751)(A;;CC;;;S-1-5-21-49831181-50866639-1143292059-9334)(A;;CC;;;S-1-5-21-49831181-50866639-1143292059-9379)"/>
  </protectedRanges>
  <mergeCells count="74">
    <mergeCell ref="H4:I4"/>
    <mergeCell ref="B70:C70"/>
    <mergeCell ref="A71:L71"/>
    <mergeCell ref="K8:L8"/>
    <mergeCell ref="G8:H8"/>
    <mergeCell ref="I8:J8"/>
    <mergeCell ref="B52:C52"/>
    <mergeCell ref="B64:C64"/>
    <mergeCell ref="B45:C45"/>
    <mergeCell ref="B46:C46"/>
    <mergeCell ref="B49:C49"/>
    <mergeCell ref="B47:C47"/>
    <mergeCell ref="B58:C58"/>
    <mergeCell ref="B67:C67"/>
    <mergeCell ref="B68:C68"/>
    <mergeCell ref="B65:C65"/>
    <mergeCell ref="B66:C66"/>
    <mergeCell ref="B63:C63"/>
    <mergeCell ref="B56:C56"/>
    <mergeCell ref="F4:G4"/>
    <mergeCell ref="B50:C50"/>
    <mergeCell ref="B51:C51"/>
    <mergeCell ref="B48:C48"/>
    <mergeCell ref="B55:C55"/>
    <mergeCell ref="B39:C39"/>
    <mergeCell ref="B40:C40"/>
    <mergeCell ref="B41:C41"/>
    <mergeCell ref="B27:C27"/>
    <mergeCell ref="B36:C36"/>
    <mergeCell ref="B29:C29"/>
    <mergeCell ref="B32:C32"/>
    <mergeCell ref="B33:C33"/>
    <mergeCell ref="B34:C34"/>
    <mergeCell ref="B28:C28"/>
    <mergeCell ref="B38:C38"/>
    <mergeCell ref="B35:C35"/>
    <mergeCell ref="B37:C37"/>
    <mergeCell ref="B31:C31"/>
    <mergeCell ref="B30:C30"/>
    <mergeCell ref="B22:C22"/>
    <mergeCell ref="B23:C23"/>
    <mergeCell ref="B24:C24"/>
    <mergeCell ref="B26:C26"/>
    <mergeCell ref="B25:C25"/>
    <mergeCell ref="A5:B5"/>
    <mergeCell ref="C4:E4"/>
    <mergeCell ref="C5:E5"/>
    <mergeCell ref="C6:D6"/>
    <mergeCell ref="B21:C21"/>
    <mergeCell ref="B13:C13"/>
    <mergeCell ref="B14:C14"/>
    <mergeCell ref="B15:C15"/>
    <mergeCell ref="B16:C16"/>
    <mergeCell ref="B17:C17"/>
    <mergeCell ref="B20:C20"/>
    <mergeCell ref="B18:C18"/>
    <mergeCell ref="B19:C19"/>
    <mergeCell ref="A7:B7"/>
    <mergeCell ref="A1:L1"/>
    <mergeCell ref="B12:C12"/>
    <mergeCell ref="A6:B6"/>
    <mergeCell ref="F6:G6"/>
    <mergeCell ref="H6:I6"/>
    <mergeCell ref="A8:A10"/>
    <mergeCell ref="B8:D8"/>
    <mergeCell ref="B11:C11"/>
    <mergeCell ref="A4:B4"/>
    <mergeCell ref="D9:D10"/>
    <mergeCell ref="B9:C10"/>
    <mergeCell ref="E8:F8"/>
    <mergeCell ref="F3:G3"/>
    <mergeCell ref="H5:I5"/>
    <mergeCell ref="F5:G5"/>
    <mergeCell ref="H3:I3"/>
  </mergeCells>
  <phoneticPr fontId="0" type="noConversion"/>
  <printOptions horizontalCentered="1"/>
  <pageMargins left="0.25" right="0.25" top="0.3" bottom="0.25" header="0" footer="0"/>
  <pageSetup scale="68" orientation="portrait" cellComments="asDisplayed" r:id="rId1"/>
  <headerFooter>
    <oddHeader>&amp;L&amp;9STATE OF CALIFORNIA</oddHeader>
    <oddFooter>&amp;C&amp;9Page &amp;P of &amp;N</oddFooter>
  </headerFooter>
  <ignoredErrors>
    <ignoredError sqref="K2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762" r:id="rId4" name="Check Box 666">
              <controlPr locked="0" defaultSize="0" autoFill="0" autoLine="0" autoPict="0" altText="Checkbox is for HCD use only. _x000a_AMC Fiscal Representative will use checkbox to use Proposed Cash Flow as Approved Cash Flow.">
                <anchor moveWithCells="1">
                  <from>
                    <xdr:col>5</xdr:col>
                    <xdr:colOff>266700</xdr:colOff>
                    <xdr:row>9</xdr:row>
                    <xdr:rowOff>266700</xdr:rowOff>
                  </from>
                  <to>
                    <xdr:col>5</xdr:col>
                    <xdr:colOff>581025</xdr:colOff>
                    <xdr:row>10</xdr:row>
                    <xdr:rowOff>19050</xdr:rowOff>
                  </to>
                </anchor>
              </controlPr>
            </control>
          </mc:Choice>
        </mc:AlternateContent>
        <mc:AlternateContent xmlns:mc="http://schemas.openxmlformats.org/markup-compatibility/2006">
          <mc:Choice Requires="x14">
            <control shapeId="4763" r:id="rId5" name="Check Box 667">
              <controlPr locked="0" defaultSize="0" autoFill="0" autoLine="0" autoPict="0" altText="Checkbox is for HCD use only. _x000a_AMC Fiscal Representative will use checkbox to use Proposed Cash Flow as Approved Cash Flow.">
                <anchor moveWithCells="1">
                  <from>
                    <xdr:col>7</xdr:col>
                    <xdr:colOff>266700</xdr:colOff>
                    <xdr:row>9</xdr:row>
                    <xdr:rowOff>257175</xdr:rowOff>
                  </from>
                  <to>
                    <xdr:col>7</xdr:col>
                    <xdr:colOff>581025</xdr:colOff>
                    <xdr:row>10</xdr:row>
                    <xdr:rowOff>19050</xdr:rowOff>
                  </to>
                </anchor>
              </controlPr>
            </control>
          </mc:Choice>
        </mc:AlternateContent>
        <mc:AlternateContent xmlns:mc="http://schemas.openxmlformats.org/markup-compatibility/2006">
          <mc:Choice Requires="x14">
            <control shapeId="4764" r:id="rId6" name="Check Box 668">
              <controlPr locked="0" defaultSize="0" autoFill="0" autoLine="0" autoPict="0" altText="Checkbox is for HCD use only. _x000d__x000a_AMC Fiscal Representative will use checkbox to use Proposed Cash Flow as Approved Cash Flow.">
                <anchor moveWithCells="1">
                  <from>
                    <xdr:col>9</xdr:col>
                    <xdr:colOff>266700</xdr:colOff>
                    <xdr:row>9</xdr:row>
                    <xdr:rowOff>266700</xdr:rowOff>
                  </from>
                  <to>
                    <xdr:col>9</xdr:col>
                    <xdr:colOff>581025</xdr:colOff>
                    <xdr:row>10</xdr:row>
                    <xdr:rowOff>19050</xdr:rowOff>
                  </to>
                </anchor>
              </controlPr>
            </control>
          </mc:Choice>
        </mc:AlternateContent>
        <mc:AlternateContent xmlns:mc="http://schemas.openxmlformats.org/markup-compatibility/2006">
          <mc:Choice Requires="x14">
            <control shapeId="4765" r:id="rId7" name="Check Box 669">
              <controlPr locked="0" defaultSize="0" autoFill="0" autoLine="0" autoPict="0" altText="Checkbox is for HCD use only. _x000d__x000a_AMC Fiscal Representative will use checkbox to use Proposed Cash Flow as Approved Cash Flow.">
                <anchor moveWithCells="1">
                  <from>
                    <xdr:col>11</xdr:col>
                    <xdr:colOff>266700</xdr:colOff>
                    <xdr:row>9</xdr:row>
                    <xdr:rowOff>266700</xdr:rowOff>
                  </from>
                  <to>
                    <xdr:col>11</xdr:col>
                    <xdr:colOff>581025</xdr:colOff>
                    <xdr:row>10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FFCC"/>
    <pageSetUpPr fitToPage="1"/>
  </sheetPr>
  <dimension ref="A1:O82"/>
  <sheetViews>
    <sheetView showGridLines="0" zoomScaleNormal="100" workbookViewId="0">
      <pane ySplit="10" topLeftCell="A11" activePane="bottomLeft" state="frozen"/>
      <selection pane="bottomLeft" activeCell="O33" sqref="O33"/>
    </sheetView>
  </sheetViews>
  <sheetFormatPr defaultColWidth="0" defaultRowHeight="12.75" zeroHeight="1" x14ac:dyDescent="0.2"/>
  <cols>
    <col min="1" max="1" width="3" style="22" customWidth="1"/>
    <col min="2" max="2" width="17.28515625" style="22" customWidth="1"/>
    <col min="3" max="3" width="34" style="22" customWidth="1"/>
    <col min="4" max="4" width="8.7109375" style="22" customWidth="1"/>
    <col min="5" max="8" width="14.7109375" style="22" customWidth="1"/>
    <col min="9" max="9" width="35.7109375" style="22" customWidth="1"/>
    <col min="10" max="10" width="9.140625" style="22" hidden="1" customWidth="1"/>
    <col min="11" max="15" width="9.140625" style="22" customWidth="1"/>
    <col min="16" max="26" width="9.140625" style="22" hidden="1" customWidth="1"/>
    <col min="27" max="16384" width="9.140625" style="22" hidden="1"/>
  </cols>
  <sheetData>
    <row r="1" spans="1:11" ht="16.5" customHeight="1" x14ac:dyDescent="0.2">
      <c r="A1" s="771" t="s">
        <v>299</v>
      </c>
      <c r="B1" s="772"/>
      <c r="C1" s="772"/>
      <c r="D1" s="772"/>
      <c r="E1" s="772"/>
      <c r="F1" s="772"/>
      <c r="G1" s="772"/>
      <c r="H1" s="772"/>
      <c r="I1" s="773"/>
    </row>
    <row r="2" spans="1:11" ht="15" customHeight="1" x14ac:dyDescent="0.2">
      <c r="B2" s="423">
        <f>'1. Operating Budget Instruction'!K1</f>
        <v>45763</v>
      </c>
      <c r="C2" s="77" t="s">
        <v>42</v>
      </c>
      <c r="D2" s="315" t="str">
        <f>IF(' 2. Checklist and Cert - 170'!D2="","",' 2. Checklist and Cert - 170'!D2)</f>
        <v/>
      </c>
      <c r="E2" s="58" t="s">
        <v>1</v>
      </c>
      <c r="F2" s="315" t="str">
        <f>IF(' 2. Checklist and Cert - 170'!F2="","",' 2. Checklist and Cert - 170'!F2)</f>
        <v/>
      </c>
      <c r="H2" s="17" t="s">
        <v>153</v>
      </c>
      <c r="I2" s="233" t="str">
        <f>IF(' 2. Checklist and Cert - 170'!D10="","",' 2. Checklist and Cert - 170'!D10)</f>
        <v/>
      </c>
    </row>
    <row r="3" spans="1:11" ht="15" customHeight="1" x14ac:dyDescent="0.2">
      <c r="C3" s="99"/>
      <c r="D3" s="811" t="str">
        <f>' 2. Checklist and Cert - 170'!A5</f>
        <v xml:space="preserve">1. HCD/CalHFA #:  </v>
      </c>
      <c r="E3" s="811"/>
      <c r="F3" s="171" t="str">
        <f>IF(' 2. Checklist and Cert - 170'!D5="","",' 2. Checklist and Cert - 170'!D5)</f>
        <v/>
      </c>
      <c r="H3" s="17" t="s">
        <v>154</v>
      </c>
      <c r="I3" s="233" t="str">
        <f>IF(' 2. Checklist and Cert - 170'!L9="","",' 2. Checklist and Cert - 170'!L9)</f>
        <v/>
      </c>
    </row>
    <row r="4" spans="1:11" s="4" customFormat="1" ht="15" customHeight="1" x14ac:dyDescent="0.2">
      <c r="A4" s="649" t="s">
        <v>2</v>
      </c>
      <c r="B4" s="649"/>
      <c r="C4" s="171" t="str">
        <f>IF(' 2. Checklist and Cert - 170'!D3="","",' 2. Checklist and Cert - 170'!D3)</f>
        <v/>
      </c>
      <c r="D4" s="811" t="str">
        <f>' 2. Checklist and Cert - 170'!A6</f>
        <v xml:space="preserve">2. HCD/CalHFA #:  </v>
      </c>
      <c r="E4" s="811"/>
      <c r="F4" s="171" t="str">
        <f>IF(' 2. Checklist and Cert - 170'!D6="","",' 2. Checklist and Cert - 170'!D6)</f>
        <v/>
      </c>
      <c r="H4" s="17" t="str">
        <f>CONCATENATE(' 2. Checklist and Cert - 170'!M2," Units:")</f>
        <v>Assisted Units:</v>
      </c>
      <c r="I4" s="229">
        <f>IF(' 2. Checklist and Cert - 170'!L2="",0,' 2. Checklist and Cert - 170'!L2)</f>
        <v>0</v>
      </c>
      <c r="K4" s="100"/>
    </row>
    <row r="5" spans="1:11" s="4" customFormat="1" ht="15" customHeight="1" x14ac:dyDescent="0.2">
      <c r="A5" s="649" t="s">
        <v>148</v>
      </c>
      <c r="B5" s="649"/>
      <c r="C5" s="171" t="str">
        <f>IF(' 2. Checklist and Cert - 170'!D4="","",' 2. Checklist and Cert - 170'!D4)</f>
        <v/>
      </c>
      <c r="D5" s="811" t="str">
        <f>' 2. Checklist and Cert - 170'!A7</f>
        <v xml:space="preserve">3. HCD/CalHFA #:  </v>
      </c>
      <c r="E5" s="811"/>
      <c r="F5" s="171" t="str">
        <f>IF(' 2. Checklist and Cert - 170'!D7="","",' 2. Checklist and Cert - 170'!D7)</f>
        <v/>
      </c>
      <c r="H5" s="17" t="s">
        <v>149</v>
      </c>
      <c r="I5" s="231">
        <f>IF(' 2. Checklist and Cert - 170'!L3="",0,' 2. Checklist and Cert - 170'!L3)</f>
        <v>0</v>
      </c>
      <c r="K5" s="100"/>
    </row>
    <row r="6" spans="1:11" s="4" customFormat="1" ht="15" customHeight="1" x14ac:dyDescent="0.2">
      <c r="A6" s="649" t="s">
        <v>151</v>
      </c>
      <c r="B6" s="649"/>
      <c r="C6" s="426"/>
      <c r="D6" s="811" t="str">
        <f>' 2. Checklist and Cert - 170'!A8</f>
        <v xml:space="preserve">4. HCD/CalHFA #:  </v>
      </c>
      <c r="E6" s="811"/>
      <c r="F6" s="171" t="str">
        <f>IF(' 2. Checklist and Cert - 170'!D8="","",' 2. Checklist and Cert - 170'!D8)</f>
        <v/>
      </c>
      <c r="H6" s="17" t="s">
        <v>147</v>
      </c>
      <c r="I6" s="232" t="str">
        <f>IF(' 2. Checklist and Cert - 170'!G10="","",' 2. Checklist and Cert - 170'!G10)</f>
        <v/>
      </c>
      <c r="K6" s="100"/>
    </row>
    <row r="7" spans="1:11" s="4" customFormat="1" ht="15" customHeight="1" thickBot="1" x14ac:dyDescent="0.25">
      <c r="A7" s="649"/>
      <c r="B7" s="649"/>
      <c r="C7" s="140"/>
      <c r="G7" s="101"/>
      <c r="H7" s="102"/>
      <c r="I7" s="102"/>
      <c r="K7" s="100"/>
    </row>
    <row r="8" spans="1:11" ht="15" customHeight="1" thickTop="1" x14ac:dyDescent="0.2">
      <c r="A8" s="808" t="s">
        <v>145</v>
      </c>
      <c r="B8" s="806" t="s">
        <v>280</v>
      </c>
      <c r="C8" s="806"/>
      <c r="D8" s="807"/>
      <c r="E8" s="810" t="s">
        <v>165</v>
      </c>
      <c r="F8" s="787"/>
      <c r="G8" s="786" t="s">
        <v>281</v>
      </c>
      <c r="H8" s="810"/>
      <c r="I8" s="805" t="s">
        <v>282</v>
      </c>
    </row>
    <row r="9" spans="1:11" ht="15" customHeight="1" x14ac:dyDescent="0.2">
      <c r="A9" s="809"/>
      <c r="B9" s="812" t="s">
        <v>60</v>
      </c>
      <c r="C9" s="702"/>
      <c r="D9" s="687" t="s">
        <v>216</v>
      </c>
      <c r="E9" s="132" t="s">
        <v>43</v>
      </c>
      <c r="F9" s="135" t="s">
        <v>44</v>
      </c>
      <c r="G9" s="474" t="s">
        <v>45</v>
      </c>
      <c r="H9" s="414" t="s">
        <v>46</v>
      </c>
      <c r="I9" s="679"/>
    </row>
    <row r="10" spans="1:11" ht="27" customHeight="1" x14ac:dyDescent="0.2">
      <c r="A10" s="632"/>
      <c r="B10" s="813"/>
      <c r="C10" s="704"/>
      <c r="D10" s="688"/>
      <c r="E10" s="136" t="s">
        <v>166</v>
      </c>
      <c r="F10" s="239" t="s">
        <v>167</v>
      </c>
      <c r="G10" s="238" t="s">
        <v>166</v>
      </c>
      <c r="H10" s="369" t="s">
        <v>167</v>
      </c>
      <c r="I10" s="680"/>
      <c r="J10" t="s">
        <v>108</v>
      </c>
    </row>
    <row r="11" spans="1:11" ht="15" customHeight="1" x14ac:dyDescent="0.2">
      <c r="A11" s="248"/>
      <c r="B11" s="649" t="s">
        <v>77</v>
      </c>
      <c r="C11" s="800"/>
      <c r="D11" s="20"/>
      <c r="E11" s="103"/>
      <c r="F11" s="104"/>
      <c r="G11" s="222"/>
      <c r="H11" s="35"/>
      <c r="I11" s="417"/>
      <c r="J11" s="182" t="b">
        <v>0</v>
      </c>
    </row>
    <row r="12" spans="1:11" ht="15" customHeight="1" x14ac:dyDescent="0.2">
      <c r="A12" s="249">
        <v>1</v>
      </c>
      <c r="B12" s="644" t="s">
        <v>178</v>
      </c>
      <c r="C12" s="645"/>
      <c r="D12" s="20">
        <v>6203</v>
      </c>
      <c r="E12" s="29">
        <f>+'4. Proposed Cost of Ops - 172'!E12</f>
        <v>0</v>
      </c>
      <c r="F12" s="105">
        <f t="shared" ref="F12:F26" si="0">IF($I$5=0,0,E12/$I$5/12)</f>
        <v>0</v>
      </c>
      <c r="G12" s="427">
        <f t="shared" ref="G12:G26" si="1">IF($J$11=TRUE,E12,0)</f>
        <v>0</v>
      </c>
      <c r="H12" s="413">
        <f t="shared" ref="H12:H26" si="2">IF($I$5=0,0,G12/$I$5/12)</f>
        <v>0</v>
      </c>
      <c r="I12" s="418"/>
    </row>
    <row r="13" spans="1:11" ht="15" customHeight="1" x14ac:dyDescent="0.2">
      <c r="A13" s="249">
        <v>2</v>
      </c>
      <c r="B13" s="644" t="s">
        <v>179</v>
      </c>
      <c r="C13" s="645"/>
      <c r="D13" s="20">
        <v>6204</v>
      </c>
      <c r="E13" s="29">
        <f>+'4. Proposed Cost of Ops - 172'!E13</f>
        <v>0</v>
      </c>
      <c r="F13" s="105">
        <f t="shared" si="0"/>
        <v>0</v>
      </c>
      <c r="G13" s="427">
        <f t="shared" si="1"/>
        <v>0</v>
      </c>
      <c r="H13" s="413">
        <f t="shared" si="2"/>
        <v>0</v>
      </c>
      <c r="I13" s="418"/>
    </row>
    <row r="14" spans="1:11" ht="15" customHeight="1" x14ac:dyDescent="0.2">
      <c r="A14" s="249">
        <v>3</v>
      </c>
      <c r="B14" s="644" t="s">
        <v>180</v>
      </c>
      <c r="C14" s="645"/>
      <c r="D14" s="20">
        <v>6210</v>
      </c>
      <c r="E14" s="29">
        <f>+'4. Proposed Cost of Ops - 172'!E14</f>
        <v>0</v>
      </c>
      <c r="F14" s="105">
        <f t="shared" si="0"/>
        <v>0</v>
      </c>
      <c r="G14" s="427">
        <f t="shared" si="1"/>
        <v>0</v>
      </c>
      <c r="H14" s="413">
        <f t="shared" si="2"/>
        <v>0</v>
      </c>
      <c r="I14" s="418"/>
    </row>
    <row r="15" spans="1:11" ht="15" customHeight="1" x14ac:dyDescent="0.2">
      <c r="A15" s="249">
        <v>4</v>
      </c>
      <c r="B15" s="644" t="s">
        <v>4</v>
      </c>
      <c r="C15" s="645"/>
      <c r="D15" s="20">
        <v>6250</v>
      </c>
      <c r="E15" s="29">
        <f>+'4. Proposed Cost of Ops - 172'!E15</f>
        <v>0</v>
      </c>
      <c r="F15" s="105">
        <f t="shared" si="0"/>
        <v>0</v>
      </c>
      <c r="G15" s="427">
        <f t="shared" si="1"/>
        <v>0</v>
      </c>
      <c r="H15" s="413">
        <f t="shared" si="2"/>
        <v>0</v>
      </c>
      <c r="I15" s="418"/>
    </row>
    <row r="16" spans="1:11" ht="15" customHeight="1" x14ac:dyDescent="0.2">
      <c r="A16" s="249">
        <v>5</v>
      </c>
      <c r="B16" s="644" t="s">
        <v>5</v>
      </c>
      <c r="C16" s="645"/>
      <c r="D16" s="20">
        <v>6310</v>
      </c>
      <c r="E16" s="29">
        <f>+'4. Proposed Cost of Ops - 172'!E16</f>
        <v>0</v>
      </c>
      <c r="F16" s="105">
        <f t="shared" si="0"/>
        <v>0</v>
      </c>
      <c r="G16" s="427">
        <f t="shared" si="1"/>
        <v>0</v>
      </c>
      <c r="H16" s="413">
        <f t="shared" si="2"/>
        <v>0</v>
      </c>
      <c r="I16" s="418"/>
    </row>
    <row r="17" spans="1:9" ht="15" customHeight="1" x14ac:dyDescent="0.2">
      <c r="A17" s="249">
        <v>6</v>
      </c>
      <c r="B17" s="644" t="s">
        <v>181</v>
      </c>
      <c r="C17" s="645"/>
      <c r="D17" s="20">
        <v>6311</v>
      </c>
      <c r="E17" s="29">
        <f>+'4. Proposed Cost of Ops - 172'!E17</f>
        <v>0</v>
      </c>
      <c r="F17" s="105">
        <f t="shared" si="0"/>
        <v>0</v>
      </c>
      <c r="G17" s="427">
        <f t="shared" si="1"/>
        <v>0</v>
      </c>
      <c r="H17" s="413">
        <f t="shared" si="2"/>
        <v>0</v>
      </c>
      <c r="I17" s="418"/>
    </row>
    <row r="18" spans="1:9" ht="15" customHeight="1" x14ac:dyDescent="0.2">
      <c r="A18" s="249">
        <v>7</v>
      </c>
      <c r="B18" s="583" t="s">
        <v>6</v>
      </c>
      <c r="C18" s="583"/>
      <c r="D18" s="20">
        <v>6312</v>
      </c>
      <c r="E18" s="29">
        <f>+'4. Proposed Cost of Ops - 172'!E18</f>
        <v>0</v>
      </c>
      <c r="F18" s="105">
        <f t="shared" si="0"/>
        <v>0</v>
      </c>
      <c r="G18" s="427">
        <f t="shared" si="1"/>
        <v>0</v>
      </c>
      <c r="H18" s="413">
        <f t="shared" si="2"/>
        <v>0</v>
      </c>
      <c r="I18" s="418"/>
    </row>
    <row r="19" spans="1:9" ht="15" customHeight="1" x14ac:dyDescent="0.2">
      <c r="A19" s="249">
        <v>8</v>
      </c>
      <c r="B19" s="583" t="s">
        <v>182</v>
      </c>
      <c r="C19" s="583"/>
      <c r="D19" s="20">
        <v>6320</v>
      </c>
      <c r="E19" s="29">
        <f>+'4. Proposed Cost of Ops - 172'!E19</f>
        <v>0</v>
      </c>
      <c r="F19" s="105">
        <f t="shared" si="0"/>
        <v>0</v>
      </c>
      <c r="G19" s="427">
        <f t="shared" si="1"/>
        <v>0</v>
      </c>
      <c r="H19" s="413">
        <f t="shared" si="2"/>
        <v>0</v>
      </c>
      <c r="I19" s="418"/>
    </row>
    <row r="20" spans="1:9" ht="15" customHeight="1" x14ac:dyDescent="0.2">
      <c r="A20" s="249">
        <v>9</v>
      </c>
      <c r="B20" s="644" t="s">
        <v>7</v>
      </c>
      <c r="C20" s="645"/>
      <c r="D20" s="20">
        <v>6330</v>
      </c>
      <c r="E20" s="29">
        <f>+'4. Proposed Cost of Ops - 172'!E20</f>
        <v>0</v>
      </c>
      <c r="F20" s="105">
        <f t="shared" si="0"/>
        <v>0</v>
      </c>
      <c r="G20" s="427">
        <f t="shared" si="1"/>
        <v>0</v>
      </c>
      <c r="H20" s="413">
        <f t="shared" si="2"/>
        <v>0</v>
      </c>
      <c r="I20" s="418"/>
    </row>
    <row r="21" spans="1:9" ht="15" customHeight="1" x14ac:dyDescent="0.2">
      <c r="A21" s="249">
        <v>10</v>
      </c>
      <c r="B21" s="644" t="s">
        <v>183</v>
      </c>
      <c r="C21" s="645"/>
      <c r="D21" s="20">
        <v>6331</v>
      </c>
      <c r="E21" s="29">
        <f>+'4. Proposed Cost of Ops - 172'!E21</f>
        <v>0</v>
      </c>
      <c r="F21" s="105">
        <f t="shared" si="0"/>
        <v>0</v>
      </c>
      <c r="G21" s="427">
        <f t="shared" si="1"/>
        <v>0</v>
      </c>
      <c r="H21" s="413">
        <f t="shared" si="2"/>
        <v>0</v>
      </c>
      <c r="I21" s="418"/>
    </row>
    <row r="22" spans="1:9" ht="15" customHeight="1" x14ac:dyDescent="0.2">
      <c r="A22" s="249">
        <v>11</v>
      </c>
      <c r="B22" s="644" t="s">
        <v>8</v>
      </c>
      <c r="C22" s="645"/>
      <c r="D22" s="20">
        <v>6340</v>
      </c>
      <c r="E22" s="29">
        <f>+'4. Proposed Cost of Ops - 172'!E22</f>
        <v>0</v>
      </c>
      <c r="F22" s="105">
        <f t="shared" si="0"/>
        <v>0</v>
      </c>
      <c r="G22" s="427">
        <f t="shared" si="1"/>
        <v>0</v>
      </c>
      <c r="H22" s="413">
        <f t="shared" si="2"/>
        <v>0</v>
      </c>
      <c r="I22" s="418"/>
    </row>
    <row r="23" spans="1:9" ht="15" customHeight="1" x14ac:dyDescent="0.2">
      <c r="A23" s="249">
        <v>12</v>
      </c>
      <c r="B23" s="644" t="s">
        <v>184</v>
      </c>
      <c r="C23" s="645"/>
      <c r="D23" s="20">
        <v>6350</v>
      </c>
      <c r="E23" s="29">
        <f>+'4. Proposed Cost of Ops - 172'!E23</f>
        <v>0</v>
      </c>
      <c r="F23" s="105">
        <f t="shared" si="0"/>
        <v>0</v>
      </c>
      <c r="G23" s="427">
        <f t="shared" si="1"/>
        <v>0</v>
      </c>
      <c r="H23" s="413">
        <f t="shared" si="2"/>
        <v>0</v>
      </c>
      <c r="I23" s="418"/>
    </row>
    <row r="24" spans="1:9" ht="15" customHeight="1" x14ac:dyDescent="0.2">
      <c r="A24" s="249">
        <v>13</v>
      </c>
      <c r="B24" s="644" t="s">
        <v>185</v>
      </c>
      <c r="C24" s="645"/>
      <c r="D24" s="20">
        <v>6351</v>
      </c>
      <c r="E24" s="29">
        <f>+'4. Proposed Cost of Ops - 172'!E24</f>
        <v>0</v>
      </c>
      <c r="F24" s="105">
        <f t="shared" si="0"/>
        <v>0</v>
      </c>
      <c r="G24" s="427">
        <f t="shared" si="1"/>
        <v>0</v>
      </c>
      <c r="H24" s="413">
        <f t="shared" si="2"/>
        <v>0</v>
      </c>
      <c r="I24" s="418"/>
    </row>
    <row r="25" spans="1:9" ht="15" customHeight="1" x14ac:dyDescent="0.2">
      <c r="A25" s="249">
        <v>14</v>
      </c>
      <c r="B25" s="644" t="s">
        <v>186</v>
      </c>
      <c r="C25" s="645"/>
      <c r="D25" s="20">
        <v>6370</v>
      </c>
      <c r="E25" s="29">
        <f>+'4. Proposed Cost of Ops - 172'!E25</f>
        <v>0</v>
      </c>
      <c r="F25" s="105">
        <f t="shared" si="0"/>
        <v>0</v>
      </c>
      <c r="G25" s="427">
        <f t="shared" si="1"/>
        <v>0</v>
      </c>
      <c r="H25" s="413">
        <f t="shared" si="2"/>
        <v>0</v>
      </c>
      <c r="I25" s="418"/>
    </row>
    <row r="26" spans="1:9" ht="15" customHeight="1" x14ac:dyDescent="0.2">
      <c r="A26" s="249">
        <v>15</v>
      </c>
      <c r="B26" s="818" t="s">
        <v>221</v>
      </c>
      <c r="C26" s="795"/>
      <c r="D26" s="20">
        <v>6390</v>
      </c>
      <c r="E26" s="29">
        <f>+'4. Proposed Cost of Ops - 172'!E26</f>
        <v>0</v>
      </c>
      <c r="F26" s="105">
        <f t="shared" si="0"/>
        <v>0</v>
      </c>
      <c r="G26" s="427">
        <f t="shared" si="1"/>
        <v>0</v>
      </c>
      <c r="H26" s="413">
        <f t="shared" si="2"/>
        <v>0</v>
      </c>
      <c r="I26" s="418"/>
    </row>
    <row r="27" spans="1:9" ht="15" customHeight="1" x14ac:dyDescent="0.2">
      <c r="A27" s="250">
        <v>16</v>
      </c>
      <c r="B27" s="699" t="s">
        <v>79</v>
      </c>
      <c r="C27" s="669"/>
      <c r="D27" s="53" t="s">
        <v>78</v>
      </c>
      <c r="E27" s="31">
        <f>SUM(E12:E26)</f>
        <v>0</v>
      </c>
      <c r="F27" s="106">
        <f>SUM(F12:F26)</f>
        <v>0</v>
      </c>
      <c r="G27" s="38">
        <f>SUM(G12:G26)</f>
        <v>0</v>
      </c>
      <c r="H27" s="415">
        <f>SUM(H12:H26)</f>
        <v>0</v>
      </c>
      <c r="I27" s="418"/>
    </row>
    <row r="28" spans="1:9" ht="15" customHeight="1" x14ac:dyDescent="0.2">
      <c r="A28" s="249"/>
      <c r="B28" s="649" t="s">
        <v>80</v>
      </c>
      <c r="C28" s="800"/>
      <c r="D28" s="20"/>
      <c r="E28" s="29"/>
      <c r="F28" s="105"/>
      <c r="G28" s="28"/>
      <c r="H28" s="413"/>
      <c r="I28" s="412"/>
    </row>
    <row r="29" spans="1:9" ht="15" customHeight="1" x14ac:dyDescent="0.2">
      <c r="A29" s="249">
        <v>17</v>
      </c>
      <c r="B29" s="644" t="s">
        <v>9</v>
      </c>
      <c r="C29" s="645"/>
      <c r="D29" s="20">
        <v>6450</v>
      </c>
      <c r="E29" s="29">
        <f>+'4. Proposed Cost of Ops - 172'!E29</f>
        <v>0</v>
      </c>
      <c r="F29" s="105">
        <f>IF($I$5=0,0,E29/$I$5/12)</f>
        <v>0</v>
      </c>
      <c r="G29" s="427">
        <f>IF($J$11=TRUE,E29,0)</f>
        <v>0</v>
      </c>
      <c r="H29" s="413">
        <f>IF($I$5=0,0,G29/$I$5/12)</f>
        <v>0</v>
      </c>
      <c r="I29" s="418"/>
    </row>
    <row r="30" spans="1:9" ht="15" customHeight="1" x14ac:dyDescent="0.2">
      <c r="A30" s="249">
        <v>18</v>
      </c>
      <c r="B30" s="644" t="s">
        <v>10</v>
      </c>
      <c r="C30" s="645"/>
      <c r="D30" s="20">
        <v>6451</v>
      </c>
      <c r="E30" s="29">
        <f>+'4. Proposed Cost of Ops - 172'!E30</f>
        <v>0</v>
      </c>
      <c r="F30" s="105">
        <f>IF($I$5=0,0,E30/$I$5/12)</f>
        <v>0</v>
      </c>
      <c r="G30" s="427">
        <f>IF($J$11=TRUE,E30,0)</f>
        <v>0</v>
      </c>
      <c r="H30" s="413">
        <f>IF($I$5=0,0,G30/$I$5/12)</f>
        <v>0</v>
      </c>
      <c r="I30" s="418"/>
    </row>
    <row r="31" spans="1:9" ht="15" customHeight="1" x14ac:dyDescent="0.2">
      <c r="A31" s="249">
        <v>19</v>
      </c>
      <c r="B31" s="644" t="s">
        <v>11</v>
      </c>
      <c r="C31" s="645"/>
      <c r="D31" s="20">
        <v>6452</v>
      </c>
      <c r="E31" s="29">
        <f>+'4. Proposed Cost of Ops - 172'!E31</f>
        <v>0</v>
      </c>
      <c r="F31" s="105">
        <f>IF($I$5=0,0,E31/$I$5/12)</f>
        <v>0</v>
      </c>
      <c r="G31" s="427">
        <f>IF($J$11=TRUE,E31,0)</f>
        <v>0</v>
      </c>
      <c r="H31" s="413">
        <f>IF($I$5=0,0,G31/$I$5/12)</f>
        <v>0</v>
      </c>
      <c r="I31" s="418"/>
    </row>
    <row r="32" spans="1:9" ht="15" customHeight="1" x14ac:dyDescent="0.2">
      <c r="A32" s="249">
        <v>20</v>
      </c>
      <c r="B32" s="644" t="s">
        <v>12</v>
      </c>
      <c r="C32" s="645"/>
      <c r="D32" s="20">
        <v>6453</v>
      </c>
      <c r="E32" s="29">
        <f>+'4. Proposed Cost of Ops - 172'!E32</f>
        <v>0</v>
      </c>
      <c r="F32" s="105">
        <f>IF($I$5=0,0,E32/$I$5/12)</f>
        <v>0</v>
      </c>
      <c r="G32" s="427">
        <f>IF($J$11=TRUE,E32,0)</f>
        <v>0</v>
      </c>
      <c r="H32" s="413">
        <f>IF($I$5=0,0,G32/$I$5/12)</f>
        <v>0</v>
      </c>
      <c r="I32" s="418"/>
    </row>
    <row r="33" spans="1:9" ht="15" customHeight="1" x14ac:dyDescent="0.2">
      <c r="A33" s="249">
        <v>21</v>
      </c>
      <c r="B33" s="699" t="s">
        <v>91</v>
      </c>
      <c r="C33" s="669"/>
      <c r="D33" s="53" t="s">
        <v>13</v>
      </c>
      <c r="E33" s="31">
        <f>SUM(E29:E32)</f>
        <v>0</v>
      </c>
      <c r="F33" s="106">
        <f>SUM(F29:F32)</f>
        <v>0</v>
      </c>
      <c r="G33" s="38">
        <f>SUM(G29:G32)</f>
        <v>0</v>
      </c>
      <c r="H33" s="415">
        <f>SUM(H29:H32)</f>
        <v>0</v>
      </c>
      <c r="I33" s="418"/>
    </row>
    <row r="34" spans="1:9" ht="15" customHeight="1" x14ac:dyDescent="0.2">
      <c r="A34" s="249"/>
      <c r="B34" s="649" t="s">
        <v>187</v>
      </c>
      <c r="C34" s="800"/>
      <c r="D34" s="20"/>
      <c r="E34" s="29"/>
      <c r="F34" s="105"/>
      <c r="G34" s="28"/>
      <c r="H34" s="413"/>
      <c r="I34" s="412"/>
    </row>
    <row r="35" spans="1:9" ht="15" customHeight="1" x14ac:dyDescent="0.2">
      <c r="A35" s="249">
        <v>22</v>
      </c>
      <c r="B35" s="644" t="s">
        <v>188</v>
      </c>
      <c r="C35" s="645"/>
      <c r="D35" s="20">
        <v>6510</v>
      </c>
      <c r="E35" s="29">
        <f>+'4. Proposed Cost of Ops - 172'!E35</f>
        <v>0</v>
      </c>
      <c r="F35" s="105">
        <f t="shared" ref="F35:F46" si="3">IF($I$5=0,0,E35/$I$5/12)</f>
        <v>0</v>
      </c>
      <c r="G35" s="427">
        <f t="shared" ref="G35:G46" si="4">IF($J$11=TRUE,E35,0)</f>
        <v>0</v>
      </c>
      <c r="H35" s="413">
        <f t="shared" ref="H35:H46" si="5">IF($I$5=0,0,G35/$I$5/12)</f>
        <v>0</v>
      </c>
      <c r="I35" s="418"/>
    </row>
    <row r="36" spans="1:9" ht="15" customHeight="1" x14ac:dyDescent="0.2">
      <c r="A36" s="249">
        <v>23</v>
      </c>
      <c r="B36" s="644" t="s">
        <v>189</v>
      </c>
      <c r="C36" s="645"/>
      <c r="D36" s="20">
        <v>6515</v>
      </c>
      <c r="E36" s="29">
        <f>+'4. Proposed Cost of Ops - 172'!E36</f>
        <v>0</v>
      </c>
      <c r="F36" s="105">
        <f t="shared" si="3"/>
        <v>0</v>
      </c>
      <c r="G36" s="427">
        <f t="shared" si="4"/>
        <v>0</v>
      </c>
      <c r="H36" s="413">
        <f t="shared" si="5"/>
        <v>0</v>
      </c>
      <c r="I36" s="418"/>
    </row>
    <row r="37" spans="1:9" ht="15" customHeight="1" x14ac:dyDescent="0.2">
      <c r="A37" s="249">
        <v>24</v>
      </c>
      <c r="B37" s="644" t="s">
        <v>190</v>
      </c>
      <c r="C37" s="645"/>
      <c r="D37" s="20">
        <v>6520</v>
      </c>
      <c r="E37" s="29">
        <f>+'4. Proposed Cost of Ops - 172'!E37</f>
        <v>0</v>
      </c>
      <c r="F37" s="105">
        <f t="shared" si="3"/>
        <v>0</v>
      </c>
      <c r="G37" s="427">
        <f t="shared" si="4"/>
        <v>0</v>
      </c>
      <c r="H37" s="413">
        <f t="shared" si="5"/>
        <v>0</v>
      </c>
      <c r="I37" s="418"/>
    </row>
    <row r="38" spans="1:9" ht="15" customHeight="1" x14ac:dyDescent="0.2">
      <c r="A38" s="249">
        <v>25</v>
      </c>
      <c r="B38" s="644" t="s">
        <v>191</v>
      </c>
      <c r="C38" s="645"/>
      <c r="D38" s="20">
        <v>6521</v>
      </c>
      <c r="E38" s="29">
        <f>+'4. Proposed Cost of Ops - 172'!E38</f>
        <v>0</v>
      </c>
      <c r="F38" s="105">
        <f t="shared" si="3"/>
        <v>0</v>
      </c>
      <c r="G38" s="427">
        <f t="shared" si="4"/>
        <v>0</v>
      </c>
      <c r="H38" s="413">
        <f t="shared" si="5"/>
        <v>0</v>
      </c>
      <c r="I38" s="418"/>
    </row>
    <row r="39" spans="1:9" ht="15" customHeight="1" x14ac:dyDescent="0.2">
      <c r="A39" s="249">
        <v>26</v>
      </c>
      <c r="B39" s="644" t="s">
        <v>14</v>
      </c>
      <c r="C39" s="645"/>
      <c r="D39" s="62">
        <v>6525</v>
      </c>
      <c r="E39" s="29">
        <f>+'4. Proposed Cost of Ops - 172'!E39</f>
        <v>0</v>
      </c>
      <c r="F39" s="105">
        <f t="shared" si="3"/>
        <v>0</v>
      </c>
      <c r="G39" s="427">
        <f t="shared" si="4"/>
        <v>0</v>
      </c>
      <c r="H39" s="413">
        <f t="shared" si="5"/>
        <v>0</v>
      </c>
      <c r="I39" s="418"/>
    </row>
    <row r="40" spans="1:9" ht="15" customHeight="1" x14ac:dyDescent="0.2">
      <c r="A40" s="249">
        <v>27</v>
      </c>
      <c r="B40" s="644" t="s">
        <v>197</v>
      </c>
      <c r="C40" s="645"/>
      <c r="D40" s="20">
        <v>6530</v>
      </c>
      <c r="E40" s="29">
        <f>+'4. Proposed Cost of Ops - 172'!E40</f>
        <v>0</v>
      </c>
      <c r="F40" s="105">
        <f t="shared" si="3"/>
        <v>0</v>
      </c>
      <c r="G40" s="427">
        <f t="shared" si="4"/>
        <v>0</v>
      </c>
      <c r="H40" s="413">
        <f t="shared" si="5"/>
        <v>0</v>
      </c>
      <c r="I40" s="418"/>
    </row>
    <row r="41" spans="1:9" ht="15" customHeight="1" x14ac:dyDescent="0.2">
      <c r="A41" s="249">
        <v>28</v>
      </c>
      <c r="B41" s="644" t="s">
        <v>192</v>
      </c>
      <c r="C41" s="645"/>
      <c r="D41" s="20">
        <v>6531</v>
      </c>
      <c r="E41" s="29">
        <f>+'4. Proposed Cost of Ops - 172'!E41</f>
        <v>0</v>
      </c>
      <c r="F41" s="105">
        <f t="shared" si="3"/>
        <v>0</v>
      </c>
      <c r="G41" s="427">
        <f t="shared" si="4"/>
        <v>0</v>
      </c>
      <c r="H41" s="413">
        <f t="shared" si="5"/>
        <v>0</v>
      </c>
      <c r="I41" s="418"/>
    </row>
    <row r="42" spans="1:9" ht="15" customHeight="1" x14ac:dyDescent="0.2">
      <c r="A42" s="249">
        <v>29</v>
      </c>
      <c r="B42" s="644" t="s">
        <v>15</v>
      </c>
      <c r="C42" s="645"/>
      <c r="D42" s="20">
        <v>6546</v>
      </c>
      <c r="E42" s="29">
        <f>+'4. Proposed Cost of Ops - 172'!E42</f>
        <v>0</v>
      </c>
      <c r="F42" s="105">
        <f t="shared" si="3"/>
        <v>0</v>
      </c>
      <c r="G42" s="427">
        <f t="shared" si="4"/>
        <v>0</v>
      </c>
      <c r="H42" s="413">
        <f t="shared" si="5"/>
        <v>0</v>
      </c>
      <c r="I42" s="418"/>
    </row>
    <row r="43" spans="1:9" ht="15" customHeight="1" x14ac:dyDescent="0.2">
      <c r="A43" s="249">
        <v>30</v>
      </c>
      <c r="B43" s="644" t="s">
        <v>16</v>
      </c>
      <c r="C43" s="645"/>
      <c r="D43" s="20">
        <v>6548</v>
      </c>
      <c r="E43" s="29">
        <f>+'4. Proposed Cost of Ops - 172'!E43</f>
        <v>0</v>
      </c>
      <c r="F43" s="105">
        <f t="shared" si="3"/>
        <v>0</v>
      </c>
      <c r="G43" s="427">
        <f t="shared" si="4"/>
        <v>0</v>
      </c>
      <c r="H43" s="413">
        <f t="shared" si="5"/>
        <v>0</v>
      </c>
      <c r="I43" s="418"/>
    </row>
    <row r="44" spans="1:9" ht="15" customHeight="1" x14ac:dyDescent="0.2">
      <c r="A44" s="249">
        <v>31</v>
      </c>
      <c r="B44" s="644" t="s">
        <v>193</v>
      </c>
      <c r="C44" s="645"/>
      <c r="D44" s="20">
        <v>6570</v>
      </c>
      <c r="E44" s="29">
        <f>+'4. Proposed Cost of Ops - 172'!E44</f>
        <v>0</v>
      </c>
      <c r="F44" s="105">
        <f t="shared" si="3"/>
        <v>0</v>
      </c>
      <c r="G44" s="427">
        <f t="shared" si="4"/>
        <v>0</v>
      </c>
      <c r="H44" s="413">
        <f t="shared" si="5"/>
        <v>0</v>
      </c>
      <c r="I44" s="418"/>
    </row>
    <row r="45" spans="1:9" ht="15" customHeight="1" x14ac:dyDescent="0.2">
      <c r="A45" s="249">
        <v>32</v>
      </c>
      <c r="B45" s="644" t="s">
        <v>198</v>
      </c>
      <c r="C45" s="645"/>
      <c r="D45" s="20">
        <v>6580</v>
      </c>
      <c r="E45" s="29">
        <f>+'4. Proposed Cost of Ops - 172'!E45</f>
        <v>0</v>
      </c>
      <c r="F45" s="105">
        <f>IF($I$5=0,0,E45/$I$5/12)</f>
        <v>0</v>
      </c>
      <c r="G45" s="427">
        <f>IF($J$11=TRUE,E45,0)</f>
        <v>0</v>
      </c>
      <c r="H45" s="413">
        <f>IF($I$5=0,0,G45/$I$5/12)</f>
        <v>0</v>
      </c>
      <c r="I45" s="418"/>
    </row>
    <row r="46" spans="1:9" ht="15" customHeight="1" x14ac:dyDescent="0.2">
      <c r="A46" s="249">
        <v>33</v>
      </c>
      <c r="B46" s="819" t="s">
        <v>219</v>
      </c>
      <c r="C46" s="820"/>
      <c r="D46" s="82">
        <v>6590</v>
      </c>
      <c r="E46" s="29">
        <f>+'4. Proposed Cost of Ops - 172'!E46</f>
        <v>0</v>
      </c>
      <c r="F46" s="105">
        <f t="shared" si="3"/>
        <v>0</v>
      </c>
      <c r="G46" s="427">
        <f t="shared" si="4"/>
        <v>0</v>
      </c>
      <c r="H46" s="413">
        <f t="shared" si="5"/>
        <v>0</v>
      </c>
      <c r="I46" s="418"/>
    </row>
    <row r="47" spans="1:9" ht="15" customHeight="1" x14ac:dyDescent="0.2">
      <c r="A47" s="249">
        <v>34</v>
      </c>
      <c r="B47" s="699" t="s">
        <v>81</v>
      </c>
      <c r="C47" s="669"/>
      <c r="D47" s="53" t="s">
        <v>17</v>
      </c>
      <c r="E47" s="31">
        <f>SUM(E35:E46)</f>
        <v>0</v>
      </c>
      <c r="F47" s="106">
        <f>SUM(F35:F46)</f>
        <v>0</v>
      </c>
      <c r="G47" s="38">
        <f>SUM(G35:G46)</f>
        <v>0</v>
      </c>
      <c r="H47" s="415">
        <f>SUM(H35:H46)</f>
        <v>0</v>
      </c>
      <c r="I47" s="418"/>
    </row>
    <row r="48" spans="1:9" ht="15" customHeight="1" x14ac:dyDescent="0.2">
      <c r="A48" s="249"/>
      <c r="B48" s="649" t="s">
        <v>82</v>
      </c>
      <c r="C48" s="800"/>
      <c r="D48" s="20"/>
      <c r="E48" s="29"/>
      <c r="F48" s="105"/>
      <c r="G48" s="28"/>
      <c r="H48" s="413"/>
      <c r="I48" s="412"/>
    </row>
    <row r="49" spans="1:9" ht="15" customHeight="1" x14ac:dyDescent="0.2">
      <c r="A49" s="249">
        <v>35</v>
      </c>
      <c r="B49" s="644" t="s">
        <v>18</v>
      </c>
      <c r="C49" s="645"/>
      <c r="D49" s="20">
        <v>6710</v>
      </c>
      <c r="E49" s="29">
        <f>+'4. Proposed Cost of Ops - 172'!E49</f>
        <v>0</v>
      </c>
      <c r="F49" s="105">
        <f t="shared" ref="F49:F55" si="6">IF($I$5=0,0,E49/$I$5/12)</f>
        <v>0</v>
      </c>
      <c r="G49" s="427">
        <f t="shared" ref="G49:G55" si="7">IF($J$11=TRUE,E49,0)</f>
        <v>0</v>
      </c>
      <c r="H49" s="413">
        <f t="shared" ref="H49:H55" si="8">IF($I$5=0,0,G49/$I$5/12)</f>
        <v>0</v>
      </c>
      <c r="I49" s="418"/>
    </row>
    <row r="50" spans="1:9" ht="15" customHeight="1" x14ac:dyDescent="0.2">
      <c r="A50" s="249">
        <v>36</v>
      </c>
      <c r="B50" s="644" t="s">
        <v>19</v>
      </c>
      <c r="C50" s="645"/>
      <c r="D50" s="20">
        <v>6711</v>
      </c>
      <c r="E50" s="29">
        <f>+'4. Proposed Cost of Ops - 172'!E50</f>
        <v>0</v>
      </c>
      <c r="F50" s="105">
        <f t="shared" si="6"/>
        <v>0</v>
      </c>
      <c r="G50" s="427">
        <f t="shared" si="7"/>
        <v>0</v>
      </c>
      <c r="H50" s="413">
        <f t="shared" si="8"/>
        <v>0</v>
      </c>
      <c r="I50" s="418"/>
    </row>
    <row r="51" spans="1:9" ht="15" customHeight="1" x14ac:dyDescent="0.2">
      <c r="A51" s="249">
        <v>37</v>
      </c>
      <c r="B51" s="644" t="s">
        <v>194</v>
      </c>
      <c r="C51" s="645"/>
      <c r="D51" s="20">
        <v>6720</v>
      </c>
      <c r="E51" s="29">
        <f>+'4. Proposed Cost of Ops - 172'!E51</f>
        <v>0</v>
      </c>
      <c r="F51" s="105">
        <f t="shared" si="6"/>
        <v>0</v>
      </c>
      <c r="G51" s="427">
        <f t="shared" si="7"/>
        <v>0</v>
      </c>
      <c r="H51" s="413">
        <f t="shared" si="8"/>
        <v>0</v>
      </c>
      <c r="I51" s="418"/>
    </row>
    <row r="52" spans="1:9" ht="15" customHeight="1" x14ac:dyDescent="0.2">
      <c r="A52" s="249">
        <v>38</v>
      </c>
      <c r="B52" s="644" t="s">
        <v>20</v>
      </c>
      <c r="C52" s="645"/>
      <c r="D52" s="20">
        <v>6721</v>
      </c>
      <c r="E52" s="29">
        <f>+'4. Proposed Cost of Ops - 172'!E52</f>
        <v>0</v>
      </c>
      <c r="F52" s="105">
        <f t="shared" si="6"/>
        <v>0</v>
      </c>
      <c r="G52" s="427">
        <f t="shared" si="7"/>
        <v>0</v>
      </c>
      <c r="H52" s="413">
        <f t="shared" si="8"/>
        <v>0</v>
      </c>
      <c r="I52" s="418"/>
    </row>
    <row r="53" spans="1:9" ht="15" customHeight="1" x14ac:dyDescent="0.2">
      <c r="A53" s="249">
        <v>39</v>
      </c>
      <c r="B53" s="644" t="s">
        <v>21</v>
      </c>
      <c r="C53" s="645"/>
      <c r="D53" s="20">
        <v>6722</v>
      </c>
      <c r="E53" s="29">
        <f>+'4. Proposed Cost of Ops - 172'!E53</f>
        <v>0</v>
      </c>
      <c r="F53" s="105">
        <f t="shared" si="6"/>
        <v>0</v>
      </c>
      <c r="G53" s="427">
        <f t="shared" si="7"/>
        <v>0</v>
      </c>
      <c r="H53" s="413">
        <f t="shared" si="8"/>
        <v>0</v>
      </c>
      <c r="I53" s="418"/>
    </row>
    <row r="54" spans="1:9" ht="15" customHeight="1" x14ac:dyDescent="0.2">
      <c r="A54" s="249">
        <v>40</v>
      </c>
      <c r="B54" s="644" t="s">
        <v>195</v>
      </c>
      <c r="C54" s="645"/>
      <c r="D54" s="20">
        <v>6723</v>
      </c>
      <c r="E54" s="29">
        <f>+'4. Proposed Cost of Ops - 172'!E54</f>
        <v>0</v>
      </c>
      <c r="F54" s="105">
        <f t="shared" si="6"/>
        <v>0</v>
      </c>
      <c r="G54" s="427">
        <f t="shared" si="7"/>
        <v>0</v>
      </c>
      <c r="H54" s="413">
        <f t="shared" si="8"/>
        <v>0</v>
      </c>
      <c r="I54" s="418"/>
    </row>
    <row r="55" spans="1:9" ht="15" customHeight="1" x14ac:dyDescent="0.2">
      <c r="A55" s="249">
        <v>41</v>
      </c>
      <c r="B55" s="644" t="s">
        <v>196</v>
      </c>
      <c r="C55" s="645"/>
      <c r="D55" s="20">
        <v>6790</v>
      </c>
      <c r="E55" s="29">
        <f>+'4. Proposed Cost of Ops - 172'!E55</f>
        <v>0</v>
      </c>
      <c r="F55" s="105">
        <f t="shared" si="6"/>
        <v>0</v>
      </c>
      <c r="G55" s="427">
        <f t="shared" si="7"/>
        <v>0</v>
      </c>
      <c r="H55" s="413">
        <f t="shared" si="8"/>
        <v>0</v>
      </c>
      <c r="I55" s="418"/>
    </row>
    <row r="56" spans="1:9" ht="15" customHeight="1" x14ac:dyDescent="0.2">
      <c r="A56" s="249">
        <v>42</v>
      </c>
      <c r="B56" s="699" t="s">
        <v>83</v>
      </c>
      <c r="C56" s="669"/>
      <c r="D56" s="53" t="s">
        <v>22</v>
      </c>
      <c r="E56" s="31">
        <f>SUM(E49:E55)</f>
        <v>0</v>
      </c>
      <c r="F56" s="106">
        <f>SUM(F49:F55)</f>
        <v>0</v>
      </c>
      <c r="G56" s="38">
        <f>SUM(G49:G55)</f>
        <v>0</v>
      </c>
      <c r="H56" s="415">
        <f>SUM(H49:H55)</f>
        <v>0</v>
      </c>
      <c r="I56" s="418"/>
    </row>
    <row r="57" spans="1:9" ht="15" customHeight="1" x14ac:dyDescent="0.2">
      <c r="A57" s="248"/>
      <c r="B57" s="816" t="s">
        <v>265</v>
      </c>
      <c r="C57" s="817"/>
      <c r="D57" s="63">
        <v>6990</v>
      </c>
      <c r="E57" s="29"/>
      <c r="F57" s="105"/>
      <c r="G57" s="28"/>
      <c r="H57" s="413"/>
      <c r="I57" s="412"/>
    </row>
    <row r="58" spans="1:9" ht="15" customHeight="1" x14ac:dyDescent="0.2">
      <c r="A58" s="249">
        <v>43</v>
      </c>
      <c r="B58" s="644" t="s">
        <v>254</v>
      </c>
      <c r="C58" s="645"/>
      <c r="D58" s="312">
        <f>IF(G58=0,0,G58/(G59+G60))</f>
        <v>0</v>
      </c>
      <c r="E58" s="29">
        <f>+'4. Proposed Cost of Ops - 172'!E58</f>
        <v>0</v>
      </c>
      <c r="F58" s="105">
        <f>IF($I$5=0,0,E58/$I$5/12)</f>
        <v>0</v>
      </c>
      <c r="G58" s="427">
        <f>IF($J$11=TRUE,E58,0)</f>
        <v>0</v>
      </c>
      <c r="H58" s="413">
        <f>IF($I$5=0,0,G58/$I$5/12)</f>
        <v>0</v>
      </c>
      <c r="I58" s="418"/>
    </row>
    <row r="59" spans="1:9" ht="15" customHeight="1" x14ac:dyDescent="0.2">
      <c r="A59" s="249">
        <v>44</v>
      </c>
      <c r="B59" s="644" t="s">
        <v>259</v>
      </c>
      <c r="C59" s="645"/>
      <c r="D59" s="82"/>
      <c r="E59" s="29">
        <f>+'4. Proposed Cost of Ops - 172'!E59</f>
        <v>0</v>
      </c>
      <c r="F59" s="105">
        <f>IF($I$5=0,0,E59/$I$5/12)</f>
        <v>0</v>
      </c>
      <c r="G59" s="427">
        <f>IF($J$11=TRUE,E59,0)</f>
        <v>0</v>
      </c>
      <c r="H59" s="413">
        <f>IF($I$5=0,0,G59/$I$5/12)</f>
        <v>0</v>
      </c>
      <c r="I59" s="418"/>
    </row>
    <row r="60" spans="1:9" ht="15" customHeight="1" x14ac:dyDescent="0.2">
      <c r="A60" s="249">
        <v>45</v>
      </c>
      <c r="B60" s="644" t="s">
        <v>258</v>
      </c>
      <c r="C60" s="645"/>
      <c r="D60" s="82"/>
      <c r="E60" s="29">
        <f>+'4. Proposed Cost of Ops - 172'!E60</f>
        <v>0</v>
      </c>
      <c r="F60" s="105">
        <f>IF($I$5=0,0,E60/$I$5/12)</f>
        <v>0</v>
      </c>
      <c r="G60" s="427">
        <f>IF($J$11=TRUE,E60,0)</f>
        <v>0</v>
      </c>
      <c r="H60" s="413">
        <f>IF($I$5=0,0,G60/$I$5/12)</f>
        <v>0</v>
      </c>
      <c r="I60" s="418"/>
    </row>
    <row r="61" spans="1:9" ht="15" customHeight="1" x14ac:dyDescent="0.2">
      <c r="A61" s="249">
        <v>46</v>
      </c>
      <c r="B61" s="644" t="s">
        <v>270</v>
      </c>
      <c r="C61" s="645"/>
      <c r="D61" s="312">
        <f>IF(G61=0,0,G61/G63)</f>
        <v>0</v>
      </c>
      <c r="E61" s="29">
        <f>+'4. Proposed Cost of Ops - 172'!E61</f>
        <v>0</v>
      </c>
      <c r="F61" s="105">
        <f>IF($I$5=0,0,E61/$I$5/12)</f>
        <v>0</v>
      </c>
      <c r="G61" s="427">
        <f>IF($J$11=TRUE,E61,0)</f>
        <v>0</v>
      </c>
      <c r="H61" s="413">
        <f>IF($I$5=0,0,G61/$I$5/12)</f>
        <v>0</v>
      </c>
      <c r="I61" s="418"/>
    </row>
    <row r="62" spans="1:9" ht="15" customHeight="1" x14ac:dyDescent="0.2">
      <c r="A62" s="249">
        <v>47</v>
      </c>
      <c r="B62" s="644" t="s">
        <v>267</v>
      </c>
      <c r="C62" s="645"/>
      <c r="D62" s="82">
        <v>6990</v>
      </c>
      <c r="E62" s="29">
        <f>+'4. Proposed Cost of Ops - 172'!E62</f>
        <v>0</v>
      </c>
      <c r="F62" s="105">
        <f>IF($I$5=0,0,E62/$I$5/12)</f>
        <v>0</v>
      </c>
      <c r="G62" s="427">
        <f>IF($J$11=TRUE,E62,0)</f>
        <v>0</v>
      </c>
      <c r="H62" s="413">
        <f>IF($I$5=0,0,G62/$I$5/12)</f>
        <v>0</v>
      </c>
      <c r="I62" s="418"/>
    </row>
    <row r="63" spans="1:9" ht="15" customHeight="1" x14ac:dyDescent="0.2">
      <c r="A63" s="250">
        <v>48</v>
      </c>
      <c r="B63" s="672" t="s">
        <v>266</v>
      </c>
      <c r="C63" s="673"/>
      <c r="D63" s="53" t="s">
        <v>23</v>
      </c>
      <c r="E63" s="31">
        <f>SUM(E58:E62)</f>
        <v>0</v>
      </c>
      <c r="F63" s="106">
        <f>SUM(F58:F62)</f>
        <v>0</v>
      </c>
      <c r="G63" s="38">
        <f>SUM(G58:G62)</f>
        <v>0</v>
      </c>
      <c r="H63" s="415">
        <f>SUM(H58:H62)</f>
        <v>0</v>
      </c>
      <c r="I63" s="418"/>
    </row>
    <row r="64" spans="1:9" ht="15" customHeight="1" thickBot="1" x14ac:dyDescent="0.25">
      <c r="A64" s="255">
        <v>49</v>
      </c>
      <c r="B64" s="814" t="s">
        <v>92</v>
      </c>
      <c r="C64" s="815"/>
      <c r="D64" s="256" t="s">
        <v>24</v>
      </c>
      <c r="E64" s="269">
        <f>E27+E33+E47+E56+E63</f>
        <v>0</v>
      </c>
      <c r="F64" s="270">
        <f>F27+F33+F47+F56+F63</f>
        <v>0</v>
      </c>
      <c r="G64" s="271">
        <f>G27+G33+G47+G56+G63</f>
        <v>0</v>
      </c>
      <c r="H64" s="416">
        <f>H27+H33+H47+H56+H63</f>
        <v>0</v>
      </c>
      <c r="I64" s="420"/>
    </row>
    <row r="65" ht="13.5" thickTop="1"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sheetData>
  <sheetProtection algorithmName="SHA-512" hashValue="j//uzw2pzBCTjsfx7M0jhpiamaAHuAUV527BHZImiyhG9QMR2rcRmnh7PDpduIN/Z8szxomgfVp2OeDrpaEQsw==" saltValue="uWtfXluYT6ZW6oE8UKUKzw==" spinCount="100000" sheet="1" objects="1" scenarios="1"/>
  <protectedRanges>
    <protectedRange password="CC26" sqref="C6" name="Range1" securityDescriptor="O:WDG:WDD:(A;;CC;;;S-1-5-21-49831181-50866639-1143292059-10685)(A;;CC;;;S-1-5-21-49831181-50866639-1143292059-10686)(A;;CC;;;S-1-5-21-49831181-50866639-1143292059-10701)(A;;CC;;;S-1-5-21-49831181-50866639-1143292059-10896)(A;;CC;;;S-1-5-21-49831181-50866639-1143292059-11312)(A;;CC;;;S-1-5-21-49831181-50866639-1143292059-11496)(A;;CC;;;S-1-5-21-49831181-50866639-1143292059-11502)(A;;CC;;;S-1-5-21-49831181-50866639-1143292059-11690)(A;;CC;;;S-1-5-21-49831181-50866639-1143292059-11877)(A;;CC;;;S-1-5-21-49831181-50866639-1143292059-12057)(A;;CC;;;S-1-5-21-49831181-50866639-1143292059-12358)(A;;CC;;;S-1-5-21-49831181-50866639-1143292059-12909)(A;;CC;;;S-1-5-21-49831181-50866639-1143292059-13413)(A;;CC;;;S-1-5-21-49831181-50866639-1143292059-13416)(A;;CC;;;S-1-5-21-49831181-50866639-1143292059-1389)(A;;CC;;;S-1-5-21-49831181-50866639-1143292059-14616)(A;;CC;;;S-1-5-21-49831181-50866639-1143292059-14618)(A;;CC;;;S-1-5-21-49831181-50866639-1143292059-15366)(A;;CC;;;S-1-5-21-49831181-50866639-1143292059-1582)(A;;CC;;;S-1-5-21-49831181-50866639-1143292059-1670)(A;;CC;;;S-1-5-21-49831181-50866639-1143292059-1760)(A;;CC;;;S-1-5-21-49831181-50866639-1143292059-1765)(A;;CC;;;S-1-5-21-49831181-50866639-1143292059-1770)(A;;CC;;;S-1-5-21-49831181-50866639-1143292059-1935)(A;;CC;;;S-1-5-21-49831181-50866639-1143292059-2306)(A;;CC;;;S-1-5-21-49831181-50866639-1143292059-3388)(A;;CC;;;S-1-5-21-49831181-50866639-1143292059-4453)(A;;CC;;;S-1-5-21-49831181-50866639-1143292059-5848)(A;;CC;;;S-1-5-21-49831181-50866639-1143292059-6863)(A;;CC;;;S-1-5-21-49831181-50866639-1143292059-7118)(A;;CC;;;S-1-5-21-49831181-50866639-1143292059-7272)(A;;CC;;;S-1-5-21-49831181-50866639-1143292059-7311)(A;;CC;;;S-1-5-21-49831181-50866639-1143292059-7328)(A;;CC;;;S-1-5-21-49831181-50866639-1143292059-7713)(A;;CC;;;S-1-5-21-49831181-50866639-1143292059-7770)(A;;CC;;;S-1-5-21-49831181-50866639-1143292059-8018)(A;;CC;;;S-1-5-21-49831181-50866639-1143292059-8023)(A;;CC;;;S-1-5-21-49831181-50866639-1143292059-8320)(A;;CC;;;S-1-5-21-49831181-50866639-1143292059-8739)(A;;CC;;;S-1-5-21-49831181-50866639-1143292059-8741)(A;;CC;;;S-1-5-21-49831181-50866639-1143292059-8748)(A;;CC;;;S-1-5-21-49831181-50866639-1143292059-8749)(A;;CC;;;S-1-5-21-49831181-50866639-1143292059-8751)(A;;CC;;;S-1-5-21-49831181-50866639-1143292059-9334)(A;;CC;;;S-1-5-21-49831181-50866639-1143292059-9379)"/>
  </protectedRanges>
  <mergeCells count="70">
    <mergeCell ref="B43:C43"/>
    <mergeCell ref="B40:C40"/>
    <mergeCell ref="B41:C41"/>
    <mergeCell ref="B36:C36"/>
    <mergeCell ref="B34:C34"/>
    <mergeCell ref="B42:C42"/>
    <mergeCell ref="B30:C30"/>
    <mergeCell ref="B31:C31"/>
    <mergeCell ref="B32:C32"/>
    <mergeCell ref="B33:C33"/>
    <mergeCell ref="B35:C35"/>
    <mergeCell ref="B64:C64"/>
    <mergeCell ref="B56:C56"/>
    <mergeCell ref="B57:C57"/>
    <mergeCell ref="B63:C63"/>
    <mergeCell ref="B26:C26"/>
    <mergeCell ref="B51:C51"/>
    <mergeCell ref="B52:C52"/>
    <mergeCell ref="B53:C53"/>
    <mergeCell ref="B54:C54"/>
    <mergeCell ref="B55:C55"/>
    <mergeCell ref="B45:C45"/>
    <mergeCell ref="B62:C62"/>
    <mergeCell ref="B46:C46"/>
    <mergeCell ref="B50:C50"/>
    <mergeCell ref="B49:C49"/>
    <mergeCell ref="B47:C47"/>
    <mergeCell ref="B61:C61"/>
    <mergeCell ref="B15:C15"/>
    <mergeCell ref="B18:C18"/>
    <mergeCell ref="B29:C29"/>
    <mergeCell ref="B16:C16"/>
    <mergeCell ref="B17:C17"/>
    <mergeCell ref="B21:C21"/>
    <mergeCell ref="B22:C22"/>
    <mergeCell ref="B23:C23"/>
    <mergeCell ref="B19:C19"/>
    <mergeCell ref="B20:C20"/>
    <mergeCell ref="B28:C28"/>
    <mergeCell ref="B24:C24"/>
    <mergeCell ref="B25:C25"/>
    <mergeCell ref="B37:C37"/>
    <mergeCell ref="B38:C38"/>
    <mergeCell ref="B11:C11"/>
    <mergeCell ref="B60:C60"/>
    <mergeCell ref="B58:C58"/>
    <mergeCell ref="B12:C12"/>
    <mergeCell ref="A4:B4"/>
    <mergeCell ref="B27:C27"/>
    <mergeCell ref="A5:B5"/>
    <mergeCell ref="A7:B7"/>
    <mergeCell ref="B13:C13"/>
    <mergeCell ref="B14:C14"/>
    <mergeCell ref="B9:C10"/>
    <mergeCell ref="A6:B6"/>
    <mergeCell ref="B48:C48"/>
    <mergeCell ref="B59:C59"/>
    <mergeCell ref="B39:C39"/>
    <mergeCell ref="B44:C44"/>
    <mergeCell ref="A1:I1"/>
    <mergeCell ref="I8:I10"/>
    <mergeCell ref="B8:D8"/>
    <mergeCell ref="A8:A10"/>
    <mergeCell ref="D9:D10"/>
    <mergeCell ref="E8:F8"/>
    <mergeCell ref="G8:H8"/>
    <mergeCell ref="D3:E3"/>
    <mergeCell ref="D5:E5"/>
    <mergeCell ref="D6:E6"/>
    <mergeCell ref="D4:E4"/>
  </mergeCells>
  <phoneticPr fontId="0" type="noConversion"/>
  <dataValidations count="1">
    <dataValidation allowBlank="1" showInputMessage="1" showErrorMessage="1" errorTitle="Read-only cell." sqref="D3:E6" xr:uid="{0F75A054-091C-4D6A-BCE9-303AFD136C3E}"/>
  </dataValidations>
  <printOptions horizontalCentered="1"/>
  <pageMargins left="0.25" right="0.25" top="0.3" bottom="0.25" header="0" footer="0"/>
  <pageSetup scale="66" orientation="portrait" r:id="rId1"/>
  <headerFooter>
    <oddHeader>&amp;L&amp;9STATE OF CALIFORNIA</oddHeader>
    <oddFooter>&amp;C&amp;9Page &amp;P of &amp;N</oddFooter>
  </headerFooter>
  <rowBreaks count="1" manualBreakCount="1">
    <brk id="6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392" r:id="rId4" name="Check Box 320">
              <controlPr locked="0" defaultSize="0" autoFill="0" autoLine="0" autoPict="0" altText="Checkbox is for HCD use only. _x000a_AMC Fiscal Representative will use checkbox to apply the approved proration.">
                <anchor moveWithCells="1">
                  <from>
                    <xdr:col>6</xdr:col>
                    <xdr:colOff>428625</xdr:colOff>
                    <xdr:row>9</xdr:row>
                    <xdr:rowOff>180975</xdr:rowOff>
                  </from>
                  <to>
                    <xdr:col>6</xdr:col>
                    <xdr:colOff>628650</xdr:colOff>
                    <xdr:row>9</xdr:row>
                    <xdr:rowOff>323850</xdr:rowOff>
                  </to>
                </anchor>
              </controlPr>
            </control>
          </mc:Choice>
        </mc:AlternateContent>
        <mc:AlternateContent xmlns:mc="http://schemas.openxmlformats.org/markup-compatibility/2006">
          <mc:Choice Requires="x14">
            <control shapeId="3393" r:id="rId5" name="Check Box 321">
              <controlPr locked="0" defaultSize="0" autoFill="0" autoLine="0" autoPict="0" altText="Checkbox is for HCD use only. ">
                <anchor moveWithCells="1">
                  <from>
                    <xdr:col>4</xdr:col>
                    <xdr:colOff>0</xdr:colOff>
                    <xdr:row>7</xdr:row>
                    <xdr:rowOff>28575</xdr:rowOff>
                  </from>
                  <to>
                    <xdr:col>4</xdr:col>
                    <xdr:colOff>0</xdr:colOff>
                    <xdr:row>7</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FFCC"/>
    <pageSetUpPr fitToPage="1"/>
  </sheetPr>
  <dimension ref="A1:S79"/>
  <sheetViews>
    <sheetView showGridLines="0" zoomScaleNormal="100" workbookViewId="0">
      <pane ySplit="10" topLeftCell="A11" activePane="bottomLeft" state="frozen"/>
      <selection pane="bottomLeft" activeCell="P5" sqref="P5"/>
    </sheetView>
  </sheetViews>
  <sheetFormatPr defaultColWidth="0" defaultRowHeight="15" customHeight="1" zeroHeight="1" x14ac:dyDescent="0.2"/>
  <cols>
    <col min="1" max="1" width="3" style="27" customWidth="1"/>
    <col min="2" max="2" width="17.28515625" style="22" customWidth="1"/>
    <col min="3" max="3" width="34" style="22" customWidth="1"/>
    <col min="4" max="4" width="7.7109375" style="22" customWidth="1"/>
    <col min="5" max="5" width="10.140625" style="22" customWidth="1"/>
    <col min="6" max="6" width="11" style="22" customWidth="1"/>
    <col min="7" max="7" width="11.7109375" style="22" customWidth="1"/>
    <col min="8" max="8" width="11" style="22" customWidth="1"/>
    <col min="9" max="9" width="10.140625" style="22" customWidth="1"/>
    <col min="10" max="10" width="11" style="22" customWidth="1"/>
    <col min="11" max="11" width="11.7109375" style="22" customWidth="1"/>
    <col min="12" max="12" width="12.7109375" style="22" customWidth="1"/>
    <col min="13" max="13" width="9.140625" style="22" customWidth="1"/>
    <col min="14" max="14" width="9.140625" style="22" hidden="1" customWidth="1"/>
    <col min="15" max="19" width="9.140625" style="22" customWidth="1"/>
    <col min="20" max="24" width="9.140625" style="22" hidden="1" customWidth="1"/>
    <col min="25" max="16384" width="9.140625" style="22" hidden="1"/>
  </cols>
  <sheetData>
    <row r="1" spans="1:14" ht="16.5" customHeight="1" x14ac:dyDescent="0.2">
      <c r="A1" s="771" t="s">
        <v>309</v>
      </c>
      <c r="B1" s="772"/>
      <c r="C1" s="772"/>
      <c r="D1" s="772"/>
      <c r="E1" s="772"/>
      <c r="F1" s="772"/>
      <c r="G1" s="772"/>
      <c r="H1" s="772"/>
      <c r="I1" s="772"/>
      <c r="J1" s="772"/>
      <c r="K1" s="772"/>
      <c r="L1" s="773"/>
    </row>
    <row r="2" spans="1:14" ht="15" customHeight="1" x14ac:dyDescent="0.2">
      <c r="B2" s="423">
        <f>'1. Operating Budget Instruction'!K1</f>
        <v>45763</v>
      </c>
      <c r="D2" s="822" t="s">
        <v>47</v>
      </c>
      <c r="E2" s="822"/>
      <c r="F2" s="314" t="str">
        <f>IF(' 2. Checklist and Cert - 170'!D2="","",' 2. Checklist and Cert - 170'!D2)</f>
        <v/>
      </c>
      <c r="G2" s="24" t="s">
        <v>1</v>
      </c>
      <c r="H2" s="316" t="str">
        <f>IF(' 2. Checklist and Cert - 170'!F2="","",' 2. Checklist and Cert - 170'!F2)</f>
        <v/>
      </c>
      <c r="K2" s="17" t="s">
        <v>153</v>
      </c>
      <c r="L2" s="230" t="str">
        <f>IF(' 2. Checklist and Cert - 170'!D10="","",' 2. Checklist and Cert - 170'!D10)</f>
        <v/>
      </c>
    </row>
    <row r="3" spans="1:14" ht="15" customHeight="1" x14ac:dyDescent="0.2">
      <c r="D3" s="2"/>
      <c r="E3" s="825" t="str">
        <f>' 2. Checklist and Cert - 170'!A5</f>
        <v xml:space="preserve">1. HCD/CalHFA #:  </v>
      </c>
      <c r="F3" s="825"/>
      <c r="G3" s="775" t="str">
        <f>IF(' 2. Checklist and Cert - 170'!D5="","",' 2. Checklist and Cert - 170'!D5)</f>
        <v/>
      </c>
      <c r="H3" s="775" t="e">
        <f>' 2. Checklist and Cert - 170'!#REF!</f>
        <v>#REF!</v>
      </c>
      <c r="K3" s="17" t="s">
        <v>154</v>
      </c>
      <c r="L3" s="230" t="str">
        <f>IF(' 2. Checklist and Cert - 170'!L9="","",' 2. Checklist and Cert - 170'!L9)</f>
        <v/>
      </c>
    </row>
    <row r="4" spans="1:14" s="4" customFormat="1" ht="15" customHeight="1" x14ac:dyDescent="0.2">
      <c r="A4" s="649" t="s">
        <v>2</v>
      </c>
      <c r="B4" s="649"/>
      <c r="C4" s="171" t="str">
        <f>IF(' 2. Checklist and Cert - 170'!D3="","",' 2. Checklist and Cert - 170'!D3)</f>
        <v/>
      </c>
      <c r="E4" s="825" t="str">
        <f>' 2. Checklist and Cert - 170'!A6</f>
        <v xml:space="preserve">2. HCD/CalHFA #:  </v>
      </c>
      <c r="F4" s="825"/>
      <c r="G4" s="775" t="str">
        <f>IF(' 2. Checklist and Cert - 170'!D6="","",' 2. Checklist and Cert - 170'!D6)</f>
        <v/>
      </c>
      <c r="H4" s="775" t="e">
        <f>' 2. Checklist and Cert - 170'!#REF!</f>
        <v>#REF!</v>
      </c>
      <c r="J4" s="102"/>
      <c r="K4" s="17" t="str">
        <f>CONCATENATE(' 2. Checklist and Cert - 170'!M2," Units:")</f>
        <v>Assisted Units:</v>
      </c>
      <c r="L4" s="220">
        <f>IF(' 2. Checklist and Cert - 170'!L2="",0,' 2. Checklist and Cert - 170'!L2)</f>
        <v>0</v>
      </c>
    </row>
    <row r="5" spans="1:14" s="4" customFormat="1" ht="15" customHeight="1" x14ac:dyDescent="0.2">
      <c r="A5" s="649" t="s">
        <v>148</v>
      </c>
      <c r="B5" s="649"/>
      <c r="C5" s="6" t="str">
        <f>IF(' 2. Checklist and Cert - 170'!D4="","",' 2. Checklist and Cert - 170'!D4)</f>
        <v/>
      </c>
      <c r="E5" s="825" t="str">
        <f>' 2. Checklist and Cert - 170'!A7</f>
        <v xml:space="preserve">3. HCD/CalHFA #:  </v>
      </c>
      <c r="F5" s="825"/>
      <c r="G5" s="775" t="str">
        <f>IF(' 2. Checklist and Cert - 170'!D7="","",' 2. Checklist and Cert - 170'!D7)</f>
        <v/>
      </c>
      <c r="H5" s="775" t="e">
        <f>' 2. Checklist and Cert - 170'!#REF!</f>
        <v>#REF!</v>
      </c>
      <c r="J5" s="102"/>
      <c r="K5" s="17" t="s">
        <v>149</v>
      </c>
      <c r="L5" s="221">
        <f>IF(' 2. Checklist and Cert - 170'!L3="",0,' 2. Checklist and Cert - 170'!L3)</f>
        <v>0</v>
      </c>
    </row>
    <row r="6" spans="1:14" s="4" customFormat="1" ht="15" customHeight="1" x14ac:dyDescent="0.2">
      <c r="A6" s="649" t="s">
        <v>151</v>
      </c>
      <c r="B6" s="649"/>
      <c r="C6" s="426"/>
      <c r="E6" s="825" t="str">
        <f>' 2. Checklist and Cert - 170'!A8</f>
        <v xml:space="preserve">4. HCD/CalHFA #:  </v>
      </c>
      <c r="F6" s="825"/>
      <c r="G6" s="775" t="str">
        <f>IF(' 2. Checklist and Cert - 170'!D8="","",' 2. Checklist and Cert - 170'!D8)</f>
        <v/>
      </c>
      <c r="H6" s="775" t="e">
        <f>' 2. Checklist and Cert - 170'!#REF!</f>
        <v>#REF!</v>
      </c>
      <c r="J6" s="17" t="s">
        <v>147</v>
      </c>
      <c r="K6" s="821" t="str">
        <f>IF(' 2. Checklist and Cert - 170'!G10="","",' 2. Checklist and Cert - 170'!G10)</f>
        <v/>
      </c>
      <c r="L6" s="821"/>
    </row>
    <row r="7" spans="1:14" s="4" customFormat="1" ht="10.9" customHeight="1" thickBot="1" x14ac:dyDescent="0.25">
      <c r="A7" s="649"/>
      <c r="B7" s="649"/>
      <c r="C7" s="140"/>
      <c r="J7" s="102"/>
      <c r="K7" s="125"/>
      <c r="L7" s="102"/>
    </row>
    <row r="8" spans="1:14" ht="15.75" customHeight="1" thickTop="1" x14ac:dyDescent="0.2">
      <c r="A8" s="823" t="s">
        <v>145</v>
      </c>
      <c r="B8" s="826" t="s">
        <v>280</v>
      </c>
      <c r="C8" s="779"/>
      <c r="D8" s="780"/>
      <c r="E8" s="810" t="s">
        <v>164</v>
      </c>
      <c r="F8" s="810"/>
      <c r="G8" s="810"/>
      <c r="H8" s="787"/>
      <c r="I8" s="786" t="s">
        <v>283</v>
      </c>
      <c r="J8" s="810"/>
      <c r="K8" s="810"/>
      <c r="L8" s="787"/>
    </row>
    <row r="9" spans="1:14" ht="11.25" customHeight="1" x14ac:dyDescent="0.2">
      <c r="A9" s="824"/>
      <c r="B9" s="812" t="s">
        <v>60</v>
      </c>
      <c r="C9" s="702"/>
      <c r="D9" s="687" t="s">
        <v>90</v>
      </c>
      <c r="E9" s="132" t="s">
        <v>43</v>
      </c>
      <c r="F9" s="133" t="s">
        <v>44</v>
      </c>
      <c r="G9" s="133" t="s">
        <v>45</v>
      </c>
      <c r="H9" s="134" t="s">
        <v>46</v>
      </c>
      <c r="I9" s="475" t="s">
        <v>48</v>
      </c>
      <c r="J9" s="133" t="s">
        <v>49</v>
      </c>
      <c r="K9" s="131" t="s">
        <v>50</v>
      </c>
      <c r="L9" s="172" t="s">
        <v>51</v>
      </c>
    </row>
    <row r="10" spans="1:14" ht="35.25" customHeight="1" x14ac:dyDescent="0.2">
      <c r="A10" s="824"/>
      <c r="B10" s="813"/>
      <c r="C10" s="704"/>
      <c r="D10" s="688"/>
      <c r="E10" s="139" t="s">
        <v>110</v>
      </c>
      <c r="F10" s="137" t="str">
        <f>CONCATENATE(' 2. Checklist and Cert - 170'!$M$2," Units")</f>
        <v>Assisted Units</v>
      </c>
      <c r="G10" s="137" t="str">
        <f>CONCATENATE("Non-",' 2. Checklist and Cert - 170'!$M$2," Units")</f>
        <v>Non-Assisted Units</v>
      </c>
      <c r="H10" s="138" t="s">
        <v>27</v>
      </c>
      <c r="I10" s="237" t="s">
        <v>110</v>
      </c>
      <c r="J10" s="137" t="str">
        <f>CONCATENATE(' 2. Checklist and Cert - 170'!$M$2," Units")</f>
        <v>Assisted Units</v>
      </c>
      <c r="K10" s="137" t="str">
        <f>CONCATENATE("Non-",' 2. Checklist and Cert - 170'!$M$2," Units")</f>
        <v>Non-Assisted Units</v>
      </c>
      <c r="L10" s="173" t="s">
        <v>27</v>
      </c>
      <c r="N10" t="s">
        <v>108</v>
      </c>
    </row>
    <row r="11" spans="1:14" ht="15" customHeight="1" x14ac:dyDescent="0.2">
      <c r="A11" s="248"/>
      <c r="B11" s="649" t="s">
        <v>77</v>
      </c>
      <c r="C11" s="800"/>
      <c r="D11" s="20"/>
      <c r="E11" s="26"/>
      <c r="F11" s="107"/>
      <c r="G11" s="107"/>
      <c r="H11" s="108"/>
      <c r="I11" s="222"/>
      <c r="J11" s="36"/>
      <c r="K11" s="36"/>
      <c r="L11" s="174"/>
      <c r="N11" s="3" t="b">
        <v>0</v>
      </c>
    </row>
    <row r="12" spans="1:14" ht="15" customHeight="1" x14ac:dyDescent="0.2">
      <c r="A12" s="249">
        <v>1</v>
      </c>
      <c r="B12" s="644" t="s">
        <v>178</v>
      </c>
      <c r="C12" s="645"/>
      <c r="D12" s="20">
        <v>6203</v>
      </c>
      <c r="E12" s="48">
        <f>+'4. Proposed Cost of Ops - 172'!F12</f>
        <v>0</v>
      </c>
      <c r="F12" s="43">
        <f>+'4. Proposed Cost of Ops - 172'!G12</f>
        <v>0</v>
      </c>
      <c r="G12" s="43">
        <f>+'4. Proposed Cost of Ops - 172'!H12</f>
        <v>0</v>
      </c>
      <c r="H12" s="43">
        <f>+'4. Proposed Cost of Ops - 172'!I12</f>
        <v>0</v>
      </c>
      <c r="I12" s="428">
        <f>IF($N$11=TRUE,E12,0)</f>
        <v>0</v>
      </c>
      <c r="J12" s="44">
        <f>('6. Approved Cost of Ops - 174 '!G12-'7. Approved Proration - 175'!L12)*'7. Approved Proration - 175'!I12</f>
        <v>0</v>
      </c>
      <c r="K12" s="44">
        <f>'6. Approved Cost of Ops - 174 '!G12-'7. Approved Proration - 175'!L12-'7. Approved Proration - 175'!J12</f>
        <v>0</v>
      </c>
      <c r="L12" s="175">
        <f>'4. Proposed Cost of Ops - 172'!I12</f>
        <v>0</v>
      </c>
    </row>
    <row r="13" spans="1:14" ht="15" customHeight="1" x14ac:dyDescent="0.2">
      <c r="A13" s="249">
        <v>2</v>
      </c>
      <c r="B13" s="644" t="s">
        <v>179</v>
      </c>
      <c r="C13" s="645"/>
      <c r="D13" s="20">
        <v>6204</v>
      </c>
      <c r="E13" s="48">
        <f>+'4. Proposed Cost of Ops - 172'!F13</f>
        <v>0</v>
      </c>
      <c r="F13" s="43">
        <f>+'4. Proposed Cost of Ops - 172'!G13</f>
        <v>0</v>
      </c>
      <c r="G13" s="43">
        <f>+'4. Proposed Cost of Ops - 172'!H13</f>
        <v>0</v>
      </c>
      <c r="H13" s="43">
        <f>+'4. Proposed Cost of Ops - 172'!I13</f>
        <v>0</v>
      </c>
      <c r="I13" s="428">
        <f>IF($N$11=TRUE,E13,0)</f>
        <v>0</v>
      </c>
      <c r="J13" s="44">
        <f>('6. Approved Cost of Ops - 174 '!G13-'7. Approved Proration - 175'!L13)*'7. Approved Proration - 175'!I13</f>
        <v>0</v>
      </c>
      <c r="K13" s="44">
        <f>'6. Approved Cost of Ops - 174 '!G13-'7. Approved Proration - 175'!L13-'7. Approved Proration - 175'!J13</f>
        <v>0</v>
      </c>
      <c r="L13" s="175">
        <f>'4. Proposed Cost of Ops - 172'!I13</f>
        <v>0</v>
      </c>
    </row>
    <row r="14" spans="1:14" ht="15" customHeight="1" x14ac:dyDescent="0.2">
      <c r="A14" s="249">
        <v>3</v>
      </c>
      <c r="B14" s="644" t="s">
        <v>180</v>
      </c>
      <c r="C14" s="645"/>
      <c r="D14" s="20">
        <v>6210</v>
      </c>
      <c r="E14" s="48">
        <f>+'4. Proposed Cost of Ops - 172'!F14</f>
        <v>0</v>
      </c>
      <c r="F14" s="43">
        <f>+'4. Proposed Cost of Ops - 172'!G14</f>
        <v>0</v>
      </c>
      <c r="G14" s="43">
        <f>+'4. Proposed Cost of Ops - 172'!H14</f>
        <v>0</v>
      </c>
      <c r="H14" s="43">
        <f>+'4. Proposed Cost of Ops - 172'!I14</f>
        <v>0</v>
      </c>
      <c r="I14" s="428">
        <f>IF($N$11=TRUE,E14,0)</f>
        <v>0</v>
      </c>
      <c r="J14" s="44">
        <f>('6. Approved Cost of Ops - 174 '!G14-'7. Approved Proration - 175'!L14)*'7. Approved Proration - 175'!I14</f>
        <v>0</v>
      </c>
      <c r="K14" s="44">
        <f>'6. Approved Cost of Ops - 174 '!G14-'7. Approved Proration - 175'!L14-'7. Approved Proration - 175'!J14</f>
        <v>0</v>
      </c>
      <c r="L14" s="175">
        <f>'4. Proposed Cost of Ops - 172'!I14</f>
        <v>0</v>
      </c>
    </row>
    <row r="15" spans="1:14" ht="15" customHeight="1" x14ac:dyDescent="0.2">
      <c r="A15" s="249">
        <v>4</v>
      </c>
      <c r="B15" s="644" t="s">
        <v>4</v>
      </c>
      <c r="C15" s="645"/>
      <c r="D15" s="20">
        <v>6250</v>
      </c>
      <c r="E15" s="48">
        <f>+'4. Proposed Cost of Ops - 172'!F15</f>
        <v>0</v>
      </c>
      <c r="F15" s="43">
        <f>+'4. Proposed Cost of Ops - 172'!G15</f>
        <v>0</v>
      </c>
      <c r="G15" s="43">
        <f>+'4. Proposed Cost of Ops - 172'!H15</f>
        <v>0</v>
      </c>
      <c r="H15" s="43">
        <f>+'4. Proposed Cost of Ops - 172'!I15</f>
        <v>0</v>
      </c>
      <c r="I15" s="428">
        <f>IF($N$11=TRUE,E15,0)</f>
        <v>0</v>
      </c>
      <c r="J15" s="44">
        <f>('6. Approved Cost of Ops - 174 '!G15-'7. Approved Proration - 175'!L15)*'7. Approved Proration - 175'!I15</f>
        <v>0</v>
      </c>
      <c r="K15" s="44">
        <f>'6. Approved Cost of Ops - 174 '!G15-'7. Approved Proration - 175'!L15-'7. Approved Proration - 175'!J15</f>
        <v>0</v>
      </c>
      <c r="L15" s="175">
        <f>'4. Proposed Cost of Ops - 172'!I15</f>
        <v>0</v>
      </c>
    </row>
    <row r="16" spans="1:14" ht="15" customHeight="1" x14ac:dyDescent="0.2">
      <c r="A16" s="249">
        <v>5</v>
      </c>
      <c r="B16" s="644" t="s">
        <v>5</v>
      </c>
      <c r="C16" s="645"/>
      <c r="D16" s="20">
        <v>6310</v>
      </c>
      <c r="E16" s="48">
        <f>+'4. Proposed Cost of Ops - 172'!F16</f>
        <v>0</v>
      </c>
      <c r="F16" s="43">
        <f>+'4. Proposed Cost of Ops - 172'!G16</f>
        <v>0</v>
      </c>
      <c r="G16" s="43">
        <f>+'4. Proposed Cost of Ops - 172'!H16</f>
        <v>0</v>
      </c>
      <c r="H16" s="43">
        <f>+'4. Proposed Cost of Ops - 172'!I16</f>
        <v>0</v>
      </c>
      <c r="I16" s="428">
        <f t="shared" ref="I16:I26" si="0">IF($N$11=TRUE,E16,0)</f>
        <v>0</v>
      </c>
      <c r="J16" s="44">
        <f>('6. Approved Cost of Ops - 174 '!G16-'7. Approved Proration - 175'!L16)*'7. Approved Proration - 175'!I16</f>
        <v>0</v>
      </c>
      <c r="K16" s="44">
        <f>'6. Approved Cost of Ops - 174 '!G16-'7. Approved Proration - 175'!L16-'7. Approved Proration - 175'!J16</f>
        <v>0</v>
      </c>
      <c r="L16" s="175">
        <f>'4. Proposed Cost of Ops - 172'!I16</f>
        <v>0</v>
      </c>
    </row>
    <row r="17" spans="1:12" ht="15" customHeight="1" x14ac:dyDescent="0.2">
      <c r="A17" s="249">
        <v>6</v>
      </c>
      <c r="B17" s="644" t="s">
        <v>181</v>
      </c>
      <c r="C17" s="645"/>
      <c r="D17" s="20">
        <v>6311</v>
      </c>
      <c r="E17" s="48">
        <f>+'4. Proposed Cost of Ops - 172'!F17</f>
        <v>0</v>
      </c>
      <c r="F17" s="43">
        <f>+'4. Proposed Cost of Ops - 172'!G17</f>
        <v>0</v>
      </c>
      <c r="G17" s="43">
        <f>+'4. Proposed Cost of Ops - 172'!H17</f>
        <v>0</v>
      </c>
      <c r="H17" s="43">
        <f>+'4. Proposed Cost of Ops - 172'!I17</f>
        <v>0</v>
      </c>
      <c r="I17" s="428">
        <f t="shared" si="0"/>
        <v>0</v>
      </c>
      <c r="J17" s="44">
        <f>('6. Approved Cost of Ops - 174 '!G17-'7. Approved Proration - 175'!L17)*'7. Approved Proration - 175'!I17</f>
        <v>0</v>
      </c>
      <c r="K17" s="44">
        <f>'6. Approved Cost of Ops - 174 '!G17-'7. Approved Proration - 175'!L17-'7. Approved Proration - 175'!J17</f>
        <v>0</v>
      </c>
      <c r="L17" s="175">
        <f>'4. Proposed Cost of Ops - 172'!I17</f>
        <v>0</v>
      </c>
    </row>
    <row r="18" spans="1:12" ht="15" customHeight="1" x14ac:dyDescent="0.2">
      <c r="A18" s="249">
        <v>7</v>
      </c>
      <c r="B18" s="583" t="s">
        <v>6</v>
      </c>
      <c r="C18" s="583"/>
      <c r="D18" s="20">
        <v>6312</v>
      </c>
      <c r="E18" s="48">
        <f>+'4. Proposed Cost of Ops - 172'!F18</f>
        <v>0</v>
      </c>
      <c r="F18" s="43">
        <f>+'4. Proposed Cost of Ops - 172'!G18</f>
        <v>0</v>
      </c>
      <c r="G18" s="43">
        <f>+'4. Proposed Cost of Ops - 172'!H18</f>
        <v>0</v>
      </c>
      <c r="H18" s="43">
        <f>+'4. Proposed Cost of Ops - 172'!I18</f>
        <v>0</v>
      </c>
      <c r="I18" s="428">
        <f t="shared" si="0"/>
        <v>0</v>
      </c>
      <c r="J18" s="44">
        <f>('6. Approved Cost of Ops - 174 '!G18-'7. Approved Proration - 175'!L18)*'7. Approved Proration - 175'!I18</f>
        <v>0</v>
      </c>
      <c r="K18" s="44">
        <f>'6. Approved Cost of Ops - 174 '!G18-'7. Approved Proration - 175'!L18-'7. Approved Proration - 175'!J18</f>
        <v>0</v>
      </c>
      <c r="L18" s="175">
        <f>'4. Proposed Cost of Ops - 172'!I18</f>
        <v>0</v>
      </c>
    </row>
    <row r="19" spans="1:12" ht="15" customHeight="1" x14ac:dyDescent="0.2">
      <c r="A19" s="249">
        <v>8</v>
      </c>
      <c r="B19" s="583" t="s">
        <v>182</v>
      </c>
      <c r="C19" s="583"/>
      <c r="D19" s="20">
        <v>6320</v>
      </c>
      <c r="E19" s="48">
        <f>+'4. Proposed Cost of Ops - 172'!F19</f>
        <v>0</v>
      </c>
      <c r="F19" s="43">
        <f>+'4. Proposed Cost of Ops - 172'!G19</f>
        <v>0</v>
      </c>
      <c r="G19" s="43">
        <f>+'4. Proposed Cost of Ops - 172'!H19</f>
        <v>0</v>
      </c>
      <c r="H19" s="43">
        <f>+'4. Proposed Cost of Ops - 172'!I19</f>
        <v>0</v>
      </c>
      <c r="I19" s="428">
        <f t="shared" si="0"/>
        <v>0</v>
      </c>
      <c r="J19" s="44">
        <f>('6. Approved Cost of Ops - 174 '!G19-'7. Approved Proration - 175'!L19)*'7. Approved Proration - 175'!I19</f>
        <v>0</v>
      </c>
      <c r="K19" s="44">
        <f>'6. Approved Cost of Ops - 174 '!G19-'7. Approved Proration - 175'!L19-'7. Approved Proration - 175'!J19</f>
        <v>0</v>
      </c>
      <c r="L19" s="175">
        <f>'4. Proposed Cost of Ops - 172'!I19</f>
        <v>0</v>
      </c>
    </row>
    <row r="20" spans="1:12" ht="15" customHeight="1" x14ac:dyDescent="0.2">
      <c r="A20" s="249">
        <v>9</v>
      </c>
      <c r="B20" s="644" t="s">
        <v>7</v>
      </c>
      <c r="C20" s="645"/>
      <c r="D20" s="20">
        <v>6330</v>
      </c>
      <c r="E20" s="48">
        <f>+'4. Proposed Cost of Ops - 172'!F20</f>
        <v>0</v>
      </c>
      <c r="F20" s="43">
        <f>+'4. Proposed Cost of Ops - 172'!G20</f>
        <v>0</v>
      </c>
      <c r="G20" s="43">
        <f>+'4. Proposed Cost of Ops - 172'!H20</f>
        <v>0</v>
      </c>
      <c r="H20" s="43">
        <f>+'4. Proposed Cost of Ops - 172'!I20</f>
        <v>0</v>
      </c>
      <c r="I20" s="428">
        <f t="shared" si="0"/>
        <v>0</v>
      </c>
      <c r="J20" s="44">
        <f>('6. Approved Cost of Ops - 174 '!G20-'7. Approved Proration - 175'!L20)*'7. Approved Proration - 175'!I20</f>
        <v>0</v>
      </c>
      <c r="K20" s="44">
        <f>'6. Approved Cost of Ops - 174 '!G20-'7. Approved Proration - 175'!L20-'7. Approved Proration - 175'!J20</f>
        <v>0</v>
      </c>
      <c r="L20" s="175">
        <f>'4. Proposed Cost of Ops - 172'!I20</f>
        <v>0</v>
      </c>
    </row>
    <row r="21" spans="1:12" ht="15" customHeight="1" x14ac:dyDescent="0.2">
      <c r="A21" s="249">
        <v>10</v>
      </c>
      <c r="B21" s="644" t="s">
        <v>183</v>
      </c>
      <c r="C21" s="645"/>
      <c r="D21" s="20">
        <v>6331</v>
      </c>
      <c r="E21" s="48">
        <f>+'4. Proposed Cost of Ops - 172'!F21</f>
        <v>0</v>
      </c>
      <c r="F21" s="43">
        <f>+'4. Proposed Cost of Ops - 172'!G21</f>
        <v>0</v>
      </c>
      <c r="G21" s="43">
        <f>+'4. Proposed Cost of Ops - 172'!H21</f>
        <v>0</v>
      </c>
      <c r="H21" s="43">
        <f>+'4. Proposed Cost of Ops - 172'!I21</f>
        <v>0</v>
      </c>
      <c r="I21" s="428">
        <f t="shared" si="0"/>
        <v>0</v>
      </c>
      <c r="J21" s="44">
        <f>('6. Approved Cost of Ops - 174 '!G21-'7. Approved Proration - 175'!L21)*'7. Approved Proration - 175'!I21</f>
        <v>0</v>
      </c>
      <c r="K21" s="44">
        <f>'6. Approved Cost of Ops - 174 '!G21-'7. Approved Proration - 175'!L21-'7. Approved Proration - 175'!J21</f>
        <v>0</v>
      </c>
      <c r="L21" s="175">
        <f>'4. Proposed Cost of Ops - 172'!I21</f>
        <v>0</v>
      </c>
    </row>
    <row r="22" spans="1:12" ht="15" customHeight="1" x14ac:dyDescent="0.2">
      <c r="A22" s="249">
        <v>11</v>
      </c>
      <c r="B22" s="644" t="s">
        <v>8</v>
      </c>
      <c r="C22" s="645"/>
      <c r="D22" s="20">
        <v>6340</v>
      </c>
      <c r="E22" s="48">
        <f>+'4. Proposed Cost of Ops - 172'!F22</f>
        <v>0</v>
      </c>
      <c r="F22" s="43">
        <f>+'4. Proposed Cost of Ops - 172'!G22</f>
        <v>0</v>
      </c>
      <c r="G22" s="43">
        <f>+'4. Proposed Cost of Ops - 172'!H22</f>
        <v>0</v>
      </c>
      <c r="H22" s="43">
        <f>+'4. Proposed Cost of Ops - 172'!I22</f>
        <v>0</v>
      </c>
      <c r="I22" s="428">
        <f t="shared" si="0"/>
        <v>0</v>
      </c>
      <c r="J22" s="44">
        <f>('6. Approved Cost of Ops - 174 '!G22-'7. Approved Proration - 175'!L22)*'7. Approved Proration - 175'!I22</f>
        <v>0</v>
      </c>
      <c r="K22" s="44">
        <f>'6. Approved Cost of Ops - 174 '!G22-'7. Approved Proration - 175'!L22-'7. Approved Proration - 175'!J22</f>
        <v>0</v>
      </c>
      <c r="L22" s="175">
        <f>'4. Proposed Cost of Ops - 172'!I22</f>
        <v>0</v>
      </c>
    </row>
    <row r="23" spans="1:12" ht="15" customHeight="1" x14ac:dyDescent="0.2">
      <c r="A23" s="249">
        <v>12</v>
      </c>
      <c r="B23" s="644" t="s">
        <v>184</v>
      </c>
      <c r="C23" s="645"/>
      <c r="D23" s="20">
        <v>6350</v>
      </c>
      <c r="E23" s="48">
        <f>+'4. Proposed Cost of Ops - 172'!F23</f>
        <v>0</v>
      </c>
      <c r="F23" s="43">
        <f>+'4. Proposed Cost of Ops - 172'!G23</f>
        <v>0</v>
      </c>
      <c r="G23" s="43">
        <f>+'4. Proposed Cost of Ops - 172'!H23</f>
        <v>0</v>
      </c>
      <c r="H23" s="43">
        <f>+'4. Proposed Cost of Ops - 172'!I23</f>
        <v>0</v>
      </c>
      <c r="I23" s="428">
        <f t="shared" si="0"/>
        <v>0</v>
      </c>
      <c r="J23" s="44">
        <f>('6. Approved Cost of Ops - 174 '!G23-'7. Approved Proration - 175'!L23)*'7. Approved Proration - 175'!I23</f>
        <v>0</v>
      </c>
      <c r="K23" s="44">
        <f>'6. Approved Cost of Ops - 174 '!G23-'7. Approved Proration - 175'!L23-'7. Approved Proration - 175'!J23</f>
        <v>0</v>
      </c>
      <c r="L23" s="175">
        <f>'4. Proposed Cost of Ops - 172'!I23</f>
        <v>0</v>
      </c>
    </row>
    <row r="24" spans="1:12" ht="15" customHeight="1" x14ac:dyDescent="0.2">
      <c r="A24" s="249">
        <v>13</v>
      </c>
      <c r="B24" s="644" t="s">
        <v>185</v>
      </c>
      <c r="C24" s="645"/>
      <c r="D24" s="20">
        <v>6351</v>
      </c>
      <c r="E24" s="48">
        <f>+'4. Proposed Cost of Ops - 172'!F24</f>
        <v>0</v>
      </c>
      <c r="F24" s="43">
        <f>+'4. Proposed Cost of Ops - 172'!G24</f>
        <v>0</v>
      </c>
      <c r="G24" s="43">
        <f>+'4. Proposed Cost of Ops - 172'!H24</f>
        <v>0</v>
      </c>
      <c r="H24" s="43">
        <f>+'4. Proposed Cost of Ops - 172'!I24</f>
        <v>0</v>
      </c>
      <c r="I24" s="428">
        <f t="shared" si="0"/>
        <v>0</v>
      </c>
      <c r="J24" s="44">
        <f>('6. Approved Cost of Ops - 174 '!G24-'7. Approved Proration - 175'!L24)*'7. Approved Proration - 175'!I24</f>
        <v>0</v>
      </c>
      <c r="K24" s="44">
        <f>'6. Approved Cost of Ops - 174 '!G24-'7. Approved Proration - 175'!L24-'7. Approved Proration - 175'!J24</f>
        <v>0</v>
      </c>
      <c r="L24" s="175">
        <f>'4. Proposed Cost of Ops - 172'!I24</f>
        <v>0</v>
      </c>
    </row>
    <row r="25" spans="1:12" ht="15" customHeight="1" x14ac:dyDescent="0.2">
      <c r="A25" s="249">
        <v>14</v>
      </c>
      <c r="B25" s="644" t="s">
        <v>186</v>
      </c>
      <c r="C25" s="645"/>
      <c r="D25" s="20">
        <v>6370</v>
      </c>
      <c r="E25" s="48">
        <f>+'4. Proposed Cost of Ops - 172'!F25</f>
        <v>0</v>
      </c>
      <c r="F25" s="43">
        <f>+'4. Proposed Cost of Ops - 172'!G25</f>
        <v>0</v>
      </c>
      <c r="G25" s="43">
        <f>+'4. Proposed Cost of Ops - 172'!H25</f>
        <v>0</v>
      </c>
      <c r="H25" s="43">
        <f>+'4. Proposed Cost of Ops - 172'!I25</f>
        <v>0</v>
      </c>
      <c r="I25" s="428">
        <f t="shared" si="0"/>
        <v>0</v>
      </c>
      <c r="J25" s="44">
        <f>('6. Approved Cost of Ops - 174 '!G25-'7. Approved Proration - 175'!L25)*'7. Approved Proration - 175'!I25</f>
        <v>0</v>
      </c>
      <c r="K25" s="44">
        <f>'6. Approved Cost of Ops - 174 '!G25-'7. Approved Proration - 175'!L25-'7. Approved Proration - 175'!J25</f>
        <v>0</v>
      </c>
      <c r="L25" s="175">
        <f>'4. Proposed Cost of Ops - 172'!I25</f>
        <v>0</v>
      </c>
    </row>
    <row r="26" spans="1:12" ht="15" customHeight="1" x14ac:dyDescent="0.2">
      <c r="A26" s="249">
        <v>15</v>
      </c>
      <c r="B26" s="818" t="s">
        <v>221</v>
      </c>
      <c r="C26" s="795"/>
      <c r="D26" s="20">
        <v>6390</v>
      </c>
      <c r="E26" s="48">
        <f>+'4. Proposed Cost of Ops - 172'!F26</f>
        <v>0</v>
      </c>
      <c r="F26" s="43">
        <f>+'4. Proposed Cost of Ops - 172'!G26</f>
        <v>0</v>
      </c>
      <c r="G26" s="43">
        <f>+'4. Proposed Cost of Ops - 172'!H26</f>
        <v>0</v>
      </c>
      <c r="H26" s="43">
        <f>+'4. Proposed Cost of Ops - 172'!I26</f>
        <v>0</v>
      </c>
      <c r="I26" s="428">
        <f t="shared" si="0"/>
        <v>0</v>
      </c>
      <c r="J26" s="44">
        <f>('6. Approved Cost of Ops - 174 '!G26-'7. Approved Proration - 175'!L26)*'7. Approved Proration - 175'!I26</f>
        <v>0</v>
      </c>
      <c r="K26" s="44">
        <f>'6. Approved Cost of Ops - 174 '!G26-'7. Approved Proration - 175'!L26-'7. Approved Proration - 175'!J26</f>
        <v>0</v>
      </c>
      <c r="L26" s="175">
        <f>'4. Proposed Cost of Ops - 172'!I26</f>
        <v>0</v>
      </c>
    </row>
    <row r="27" spans="1:12" ht="15" customHeight="1" x14ac:dyDescent="0.2">
      <c r="A27" s="250">
        <v>16</v>
      </c>
      <c r="B27" s="699" t="s">
        <v>79</v>
      </c>
      <c r="C27" s="669"/>
      <c r="D27" s="53" t="s">
        <v>78</v>
      </c>
      <c r="E27" s="71"/>
      <c r="F27" s="39">
        <f>SUM(F12:F26)</f>
        <v>0</v>
      </c>
      <c r="G27" s="110">
        <f>SUM(G12:G26)</f>
        <v>0</v>
      </c>
      <c r="H27" s="110">
        <f>SUM(H12:H26)</f>
        <v>0</v>
      </c>
      <c r="I27" s="111"/>
      <c r="J27" s="39">
        <f>SUM(J12:J26)</f>
        <v>0</v>
      </c>
      <c r="K27" s="39">
        <f>SUM(K12:K26)</f>
        <v>0</v>
      </c>
      <c r="L27" s="87">
        <f>SUM(L12:L26)</f>
        <v>0</v>
      </c>
    </row>
    <row r="28" spans="1:12" ht="15" customHeight="1" x14ac:dyDescent="0.2">
      <c r="A28" s="249"/>
      <c r="B28" s="649" t="s">
        <v>114</v>
      </c>
      <c r="C28" s="800"/>
      <c r="D28" s="20"/>
      <c r="E28" s="48"/>
      <c r="F28" s="43"/>
      <c r="G28" s="43"/>
      <c r="H28" s="43"/>
      <c r="I28" s="109"/>
      <c r="J28" s="44"/>
      <c r="K28" s="44"/>
      <c r="L28" s="175"/>
    </row>
    <row r="29" spans="1:12" ht="15" customHeight="1" x14ac:dyDescent="0.2">
      <c r="A29" s="249">
        <v>17</v>
      </c>
      <c r="B29" s="644" t="s">
        <v>9</v>
      </c>
      <c r="C29" s="645"/>
      <c r="D29" s="20">
        <v>6450</v>
      </c>
      <c r="E29" s="48">
        <f>+'4. Proposed Cost of Ops - 172'!F29</f>
        <v>0</v>
      </c>
      <c r="F29" s="43">
        <f>+'4. Proposed Cost of Ops - 172'!G29</f>
        <v>0</v>
      </c>
      <c r="G29" s="43">
        <f>+'4. Proposed Cost of Ops - 172'!H29</f>
        <v>0</v>
      </c>
      <c r="H29" s="43">
        <f>+'4. Proposed Cost of Ops - 172'!I29</f>
        <v>0</v>
      </c>
      <c r="I29" s="428">
        <f>IF($N$11=TRUE,E29,0)</f>
        <v>0</v>
      </c>
      <c r="J29" s="44">
        <f>('6. Approved Cost of Ops - 174 '!G29-'7. Approved Proration - 175'!L29)*'7. Approved Proration - 175'!I29</f>
        <v>0</v>
      </c>
      <c r="K29" s="44">
        <f>'6. Approved Cost of Ops - 174 '!G29-'7. Approved Proration - 175'!L29-'7. Approved Proration - 175'!J29</f>
        <v>0</v>
      </c>
      <c r="L29" s="175">
        <f>'4. Proposed Cost of Ops - 172'!I29</f>
        <v>0</v>
      </c>
    </row>
    <row r="30" spans="1:12" ht="15" customHeight="1" x14ac:dyDescent="0.2">
      <c r="A30" s="249">
        <v>18</v>
      </c>
      <c r="B30" s="644" t="s">
        <v>10</v>
      </c>
      <c r="C30" s="645"/>
      <c r="D30" s="20">
        <v>6451</v>
      </c>
      <c r="E30" s="48">
        <f>+'4. Proposed Cost of Ops - 172'!F30</f>
        <v>0</v>
      </c>
      <c r="F30" s="43">
        <f>+'4. Proposed Cost of Ops - 172'!G30</f>
        <v>0</v>
      </c>
      <c r="G30" s="43">
        <f>+'4. Proposed Cost of Ops - 172'!H30</f>
        <v>0</v>
      </c>
      <c r="H30" s="43">
        <f>+'4. Proposed Cost of Ops - 172'!I30</f>
        <v>0</v>
      </c>
      <c r="I30" s="428">
        <f>IF($N$11=TRUE,E30,0)</f>
        <v>0</v>
      </c>
      <c r="J30" s="44">
        <f>('6. Approved Cost of Ops - 174 '!G30-'7. Approved Proration - 175'!L30)*'7. Approved Proration - 175'!I30</f>
        <v>0</v>
      </c>
      <c r="K30" s="44">
        <f>'6. Approved Cost of Ops - 174 '!G30-'7. Approved Proration - 175'!L30-'7. Approved Proration - 175'!J30</f>
        <v>0</v>
      </c>
      <c r="L30" s="175">
        <f>'4. Proposed Cost of Ops - 172'!I30</f>
        <v>0</v>
      </c>
    </row>
    <row r="31" spans="1:12" ht="15" customHeight="1" x14ac:dyDescent="0.2">
      <c r="A31" s="249">
        <v>19</v>
      </c>
      <c r="B31" s="644" t="s">
        <v>11</v>
      </c>
      <c r="C31" s="645"/>
      <c r="D31" s="20">
        <v>6452</v>
      </c>
      <c r="E31" s="48">
        <f>+'4. Proposed Cost of Ops - 172'!F31</f>
        <v>0</v>
      </c>
      <c r="F31" s="43">
        <f>+'4. Proposed Cost of Ops - 172'!G31</f>
        <v>0</v>
      </c>
      <c r="G31" s="43">
        <f>+'4. Proposed Cost of Ops - 172'!H31</f>
        <v>0</v>
      </c>
      <c r="H31" s="43">
        <f>+'4. Proposed Cost of Ops - 172'!I31</f>
        <v>0</v>
      </c>
      <c r="I31" s="428">
        <f>IF($N$11=TRUE,E31,0)</f>
        <v>0</v>
      </c>
      <c r="J31" s="44">
        <f>('6. Approved Cost of Ops - 174 '!G31-'7. Approved Proration - 175'!L31)*'7. Approved Proration - 175'!I31</f>
        <v>0</v>
      </c>
      <c r="K31" s="44">
        <f>'6. Approved Cost of Ops - 174 '!G31-'7. Approved Proration - 175'!L31-'7. Approved Proration - 175'!J31</f>
        <v>0</v>
      </c>
      <c r="L31" s="175">
        <f>'4. Proposed Cost of Ops - 172'!I31</f>
        <v>0</v>
      </c>
    </row>
    <row r="32" spans="1:12" ht="15" customHeight="1" x14ac:dyDescent="0.2">
      <c r="A32" s="249">
        <v>20</v>
      </c>
      <c r="B32" s="644" t="s">
        <v>12</v>
      </c>
      <c r="C32" s="645"/>
      <c r="D32" s="20">
        <v>6453</v>
      </c>
      <c r="E32" s="48">
        <f>+'4. Proposed Cost of Ops - 172'!F32</f>
        <v>0</v>
      </c>
      <c r="F32" s="43">
        <f>+'4. Proposed Cost of Ops - 172'!G32</f>
        <v>0</v>
      </c>
      <c r="G32" s="43">
        <f>+'4. Proposed Cost of Ops - 172'!H32</f>
        <v>0</v>
      </c>
      <c r="H32" s="43">
        <f>+'4. Proposed Cost of Ops - 172'!I32</f>
        <v>0</v>
      </c>
      <c r="I32" s="428">
        <f>IF($N$11=TRUE,E32,0)</f>
        <v>0</v>
      </c>
      <c r="J32" s="44">
        <f>('6. Approved Cost of Ops - 174 '!G32-'7. Approved Proration - 175'!L32)*'7. Approved Proration - 175'!I32</f>
        <v>0</v>
      </c>
      <c r="K32" s="44">
        <f>'6. Approved Cost of Ops - 174 '!G32-'7. Approved Proration - 175'!L32-'7. Approved Proration - 175'!J32</f>
        <v>0</v>
      </c>
      <c r="L32" s="175">
        <f>'4. Proposed Cost of Ops - 172'!I32</f>
        <v>0</v>
      </c>
    </row>
    <row r="33" spans="1:12" ht="15" customHeight="1" x14ac:dyDescent="0.2">
      <c r="A33" s="249">
        <v>21</v>
      </c>
      <c r="B33" s="699" t="s">
        <v>91</v>
      </c>
      <c r="C33" s="669"/>
      <c r="D33" s="53" t="s">
        <v>13</v>
      </c>
      <c r="E33" s="71"/>
      <c r="F33" s="39">
        <f>SUM(F29:F32)</f>
        <v>0</v>
      </c>
      <c r="G33" s="110">
        <f>SUM(G29:G32)</f>
        <v>0</v>
      </c>
      <c r="H33" s="110">
        <f>SUM(H29:H32)</f>
        <v>0</v>
      </c>
      <c r="I33" s="111"/>
      <c r="J33" s="39">
        <f>SUM(J29:J32)</f>
        <v>0</v>
      </c>
      <c r="K33" s="39">
        <f>SUM(K29:K32)</f>
        <v>0</v>
      </c>
      <c r="L33" s="87">
        <f>SUM(L29:L32)</f>
        <v>0</v>
      </c>
    </row>
    <row r="34" spans="1:12" ht="15" customHeight="1" x14ac:dyDescent="0.2">
      <c r="A34" s="249"/>
      <c r="B34" s="649" t="s">
        <v>187</v>
      </c>
      <c r="C34" s="800"/>
      <c r="D34" s="20"/>
      <c r="E34" s="48"/>
      <c r="F34" s="43"/>
      <c r="G34" s="43"/>
      <c r="H34" s="43"/>
      <c r="I34" s="109"/>
      <c r="J34" s="44"/>
      <c r="K34" s="44"/>
      <c r="L34" s="175"/>
    </row>
    <row r="35" spans="1:12" ht="15" customHeight="1" x14ac:dyDescent="0.2">
      <c r="A35" s="249">
        <v>22</v>
      </c>
      <c r="B35" s="644" t="s">
        <v>188</v>
      </c>
      <c r="C35" s="645"/>
      <c r="D35" s="20">
        <v>6510</v>
      </c>
      <c r="E35" s="48">
        <f>+'4. Proposed Cost of Ops - 172'!F35</f>
        <v>0</v>
      </c>
      <c r="F35" s="43">
        <f>+'4. Proposed Cost of Ops - 172'!G35</f>
        <v>0</v>
      </c>
      <c r="G35" s="43">
        <f>+'4. Proposed Cost of Ops - 172'!H35</f>
        <v>0</v>
      </c>
      <c r="H35" s="43">
        <f>+'4. Proposed Cost of Ops - 172'!I35</f>
        <v>0</v>
      </c>
      <c r="I35" s="428">
        <f t="shared" ref="I35:I44" si="1">IF($N$11=TRUE,E35,0)</f>
        <v>0</v>
      </c>
      <c r="J35" s="44">
        <f>('6. Approved Cost of Ops - 174 '!G35-'7. Approved Proration - 175'!L35)*'7. Approved Proration - 175'!I35</f>
        <v>0</v>
      </c>
      <c r="K35" s="44">
        <f>'6. Approved Cost of Ops - 174 '!G35-'7. Approved Proration - 175'!L35-'7. Approved Proration - 175'!J35</f>
        <v>0</v>
      </c>
      <c r="L35" s="175">
        <f>'4. Proposed Cost of Ops - 172'!I35</f>
        <v>0</v>
      </c>
    </row>
    <row r="36" spans="1:12" ht="15" customHeight="1" x14ac:dyDescent="0.2">
      <c r="A36" s="249">
        <v>23</v>
      </c>
      <c r="B36" s="644" t="s">
        <v>189</v>
      </c>
      <c r="C36" s="645"/>
      <c r="D36" s="20">
        <v>6515</v>
      </c>
      <c r="E36" s="48">
        <f>+'4. Proposed Cost of Ops - 172'!F36</f>
        <v>0</v>
      </c>
      <c r="F36" s="43">
        <f>+'4. Proposed Cost of Ops - 172'!G36</f>
        <v>0</v>
      </c>
      <c r="G36" s="43">
        <f>+'4. Proposed Cost of Ops - 172'!H36</f>
        <v>0</v>
      </c>
      <c r="H36" s="43">
        <f>+'4. Proposed Cost of Ops - 172'!I36</f>
        <v>0</v>
      </c>
      <c r="I36" s="428">
        <f t="shared" si="1"/>
        <v>0</v>
      </c>
      <c r="J36" s="44">
        <f>('6. Approved Cost of Ops - 174 '!G36-'7. Approved Proration - 175'!L36)*'7. Approved Proration - 175'!I36</f>
        <v>0</v>
      </c>
      <c r="K36" s="44">
        <f>'6. Approved Cost of Ops - 174 '!G36-'7. Approved Proration - 175'!L36-'7. Approved Proration - 175'!J36</f>
        <v>0</v>
      </c>
      <c r="L36" s="175">
        <f>'4. Proposed Cost of Ops - 172'!I36</f>
        <v>0</v>
      </c>
    </row>
    <row r="37" spans="1:12" ht="15" customHeight="1" x14ac:dyDescent="0.2">
      <c r="A37" s="249">
        <v>24</v>
      </c>
      <c r="B37" s="644" t="s">
        <v>190</v>
      </c>
      <c r="C37" s="645"/>
      <c r="D37" s="20">
        <v>6520</v>
      </c>
      <c r="E37" s="48">
        <f>+'4. Proposed Cost of Ops - 172'!F37</f>
        <v>0</v>
      </c>
      <c r="F37" s="43">
        <f>+'4. Proposed Cost of Ops - 172'!G37</f>
        <v>0</v>
      </c>
      <c r="G37" s="43">
        <f>+'4. Proposed Cost of Ops - 172'!H37</f>
        <v>0</v>
      </c>
      <c r="H37" s="43">
        <f>+'4. Proposed Cost of Ops - 172'!I37</f>
        <v>0</v>
      </c>
      <c r="I37" s="428">
        <f t="shared" si="1"/>
        <v>0</v>
      </c>
      <c r="J37" s="44">
        <f>('6. Approved Cost of Ops - 174 '!G37-'7. Approved Proration - 175'!L37)*'7. Approved Proration - 175'!I37</f>
        <v>0</v>
      </c>
      <c r="K37" s="44">
        <f>'6. Approved Cost of Ops - 174 '!G37-'7. Approved Proration - 175'!L37-'7. Approved Proration - 175'!J37</f>
        <v>0</v>
      </c>
      <c r="L37" s="175">
        <f>'4. Proposed Cost of Ops - 172'!I37</f>
        <v>0</v>
      </c>
    </row>
    <row r="38" spans="1:12" ht="15" customHeight="1" x14ac:dyDescent="0.2">
      <c r="A38" s="249">
        <v>25</v>
      </c>
      <c r="B38" s="644" t="s">
        <v>191</v>
      </c>
      <c r="C38" s="645"/>
      <c r="D38" s="20">
        <v>6521</v>
      </c>
      <c r="E38" s="48">
        <f>+'4. Proposed Cost of Ops - 172'!F38</f>
        <v>0</v>
      </c>
      <c r="F38" s="43">
        <f>+'4. Proposed Cost of Ops - 172'!G38</f>
        <v>0</v>
      </c>
      <c r="G38" s="43">
        <f>+'4. Proposed Cost of Ops - 172'!H38</f>
        <v>0</v>
      </c>
      <c r="H38" s="43">
        <f>+'4. Proposed Cost of Ops - 172'!I38</f>
        <v>0</v>
      </c>
      <c r="I38" s="428">
        <f t="shared" si="1"/>
        <v>0</v>
      </c>
      <c r="J38" s="44">
        <f>('6. Approved Cost of Ops - 174 '!G38-'7. Approved Proration - 175'!L38)*'7. Approved Proration - 175'!I38</f>
        <v>0</v>
      </c>
      <c r="K38" s="44">
        <f>'6. Approved Cost of Ops - 174 '!G38-'7. Approved Proration - 175'!L38-'7. Approved Proration - 175'!J38</f>
        <v>0</v>
      </c>
      <c r="L38" s="175">
        <f>'4. Proposed Cost of Ops - 172'!I38</f>
        <v>0</v>
      </c>
    </row>
    <row r="39" spans="1:12" ht="15" customHeight="1" x14ac:dyDescent="0.2">
      <c r="A39" s="249">
        <v>26</v>
      </c>
      <c r="B39" s="644" t="s">
        <v>14</v>
      </c>
      <c r="C39" s="645"/>
      <c r="D39" s="62">
        <v>6525</v>
      </c>
      <c r="E39" s="48">
        <f>+'4. Proposed Cost of Ops - 172'!F39</f>
        <v>0</v>
      </c>
      <c r="F39" s="43">
        <f>+'4. Proposed Cost of Ops - 172'!G39</f>
        <v>0</v>
      </c>
      <c r="G39" s="43">
        <f>+'4. Proposed Cost of Ops - 172'!H39</f>
        <v>0</v>
      </c>
      <c r="H39" s="43">
        <f>+'4. Proposed Cost of Ops - 172'!I39</f>
        <v>0</v>
      </c>
      <c r="I39" s="428">
        <f t="shared" si="1"/>
        <v>0</v>
      </c>
      <c r="J39" s="44">
        <f>('6. Approved Cost of Ops - 174 '!G39-'7. Approved Proration - 175'!L39)*'7. Approved Proration - 175'!I39</f>
        <v>0</v>
      </c>
      <c r="K39" s="44">
        <f>'6. Approved Cost of Ops - 174 '!G39-'7. Approved Proration - 175'!L39-'7. Approved Proration - 175'!J39</f>
        <v>0</v>
      </c>
      <c r="L39" s="175">
        <f>'4. Proposed Cost of Ops - 172'!I39</f>
        <v>0</v>
      </c>
    </row>
    <row r="40" spans="1:12" ht="15" customHeight="1" x14ac:dyDescent="0.2">
      <c r="A40" s="249">
        <v>27</v>
      </c>
      <c r="B40" s="644" t="s">
        <v>197</v>
      </c>
      <c r="C40" s="645"/>
      <c r="D40" s="20">
        <v>6530</v>
      </c>
      <c r="E40" s="48">
        <f>+'4. Proposed Cost of Ops - 172'!F40</f>
        <v>0</v>
      </c>
      <c r="F40" s="43">
        <f>+'4. Proposed Cost of Ops - 172'!G40</f>
        <v>0</v>
      </c>
      <c r="G40" s="43">
        <f>+'4. Proposed Cost of Ops - 172'!H40</f>
        <v>0</v>
      </c>
      <c r="H40" s="43">
        <f>+'4. Proposed Cost of Ops - 172'!I40</f>
        <v>0</v>
      </c>
      <c r="I40" s="428">
        <f t="shared" si="1"/>
        <v>0</v>
      </c>
      <c r="J40" s="44">
        <f>('6. Approved Cost of Ops - 174 '!G40-'7. Approved Proration - 175'!L40)*'7. Approved Proration - 175'!I40</f>
        <v>0</v>
      </c>
      <c r="K40" s="44">
        <f>'6. Approved Cost of Ops - 174 '!G40-'7. Approved Proration - 175'!L40-'7. Approved Proration - 175'!J40</f>
        <v>0</v>
      </c>
      <c r="L40" s="175">
        <f>'4. Proposed Cost of Ops - 172'!I40</f>
        <v>0</v>
      </c>
    </row>
    <row r="41" spans="1:12" ht="15" customHeight="1" x14ac:dyDescent="0.2">
      <c r="A41" s="249">
        <v>28</v>
      </c>
      <c r="B41" s="644" t="s">
        <v>192</v>
      </c>
      <c r="C41" s="645"/>
      <c r="D41" s="20">
        <v>6531</v>
      </c>
      <c r="E41" s="48">
        <f>+'4. Proposed Cost of Ops - 172'!F41</f>
        <v>0</v>
      </c>
      <c r="F41" s="43">
        <f>+'4. Proposed Cost of Ops - 172'!G41</f>
        <v>0</v>
      </c>
      <c r="G41" s="43">
        <f>+'4. Proposed Cost of Ops - 172'!H41</f>
        <v>0</v>
      </c>
      <c r="H41" s="43">
        <f>+'4. Proposed Cost of Ops - 172'!I41</f>
        <v>0</v>
      </c>
      <c r="I41" s="428">
        <f t="shared" si="1"/>
        <v>0</v>
      </c>
      <c r="J41" s="44">
        <f>('6. Approved Cost of Ops - 174 '!G41-'7. Approved Proration - 175'!L41)*'7. Approved Proration - 175'!I41</f>
        <v>0</v>
      </c>
      <c r="K41" s="44">
        <f>'6. Approved Cost of Ops - 174 '!G41-'7. Approved Proration - 175'!L41-'7. Approved Proration - 175'!J41</f>
        <v>0</v>
      </c>
      <c r="L41" s="175">
        <f>'4. Proposed Cost of Ops - 172'!I41</f>
        <v>0</v>
      </c>
    </row>
    <row r="42" spans="1:12" ht="15" customHeight="1" x14ac:dyDescent="0.2">
      <c r="A42" s="249">
        <v>29</v>
      </c>
      <c r="B42" s="644" t="s">
        <v>15</v>
      </c>
      <c r="C42" s="645"/>
      <c r="D42" s="20">
        <v>6546</v>
      </c>
      <c r="E42" s="48">
        <f>+'4. Proposed Cost of Ops - 172'!F42</f>
        <v>0</v>
      </c>
      <c r="F42" s="43">
        <f>+'4. Proposed Cost of Ops - 172'!G42</f>
        <v>0</v>
      </c>
      <c r="G42" s="43">
        <f>+'4. Proposed Cost of Ops - 172'!H42</f>
        <v>0</v>
      </c>
      <c r="H42" s="43">
        <f>+'4. Proposed Cost of Ops - 172'!I42</f>
        <v>0</v>
      </c>
      <c r="I42" s="428">
        <f t="shared" si="1"/>
        <v>0</v>
      </c>
      <c r="J42" s="44">
        <f>('6. Approved Cost of Ops - 174 '!G42-'7. Approved Proration - 175'!L42)*'7. Approved Proration - 175'!I42</f>
        <v>0</v>
      </c>
      <c r="K42" s="44">
        <f>'6. Approved Cost of Ops - 174 '!G42-'7. Approved Proration - 175'!L42-'7. Approved Proration - 175'!J42</f>
        <v>0</v>
      </c>
      <c r="L42" s="175">
        <f>'4. Proposed Cost of Ops - 172'!I42</f>
        <v>0</v>
      </c>
    </row>
    <row r="43" spans="1:12" ht="15" customHeight="1" x14ac:dyDescent="0.2">
      <c r="A43" s="249">
        <v>30</v>
      </c>
      <c r="B43" s="644" t="s">
        <v>16</v>
      </c>
      <c r="C43" s="645"/>
      <c r="D43" s="20">
        <v>6548</v>
      </c>
      <c r="E43" s="48">
        <f>+'4. Proposed Cost of Ops - 172'!F43</f>
        <v>0</v>
      </c>
      <c r="F43" s="43">
        <f>+'4. Proposed Cost of Ops - 172'!G43</f>
        <v>0</v>
      </c>
      <c r="G43" s="43">
        <f>+'4. Proposed Cost of Ops - 172'!H43</f>
        <v>0</v>
      </c>
      <c r="H43" s="43">
        <f>+'4. Proposed Cost of Ops - 172'!I43</f>
        <v>0</v>
      </c>
      <c r="I43" s="428">
        <f t="shared" si="1"/>
        <v>0</v>
      </c>
      <c r="J43" s="44">
        <f>('6. Approved Cost of Ops - 174 '!G43-'7. Approved Proration - 175'!L43)*'7. Approved Proration - 175'!I43</f>
        <v>0</v>
      </c>
      <c r="K43" s="44">
        <f>'6. Approved Cost of Ops - 174 '!G43-'7. Approved Proration - 175'!L43-'7. Approved Proration - 175'!J43</f>
        <v>0</v>
      </c>
      <c r="L43" s="175">
        <f>'4. Proposed Cost of Ops - 172'!I43</f>
        <v>0</v>
      </c>
    </row>
    <row r="44" spans="1:12" ht="15" customHeight="1" x14ac:dyDescent="0.2">
      <c r="A44" s="249">
        <v>31</v>
      </c>
      <c r="B44" s="644" t="s">
        <v>193</v>
      </c>
      <c r="C44" s="645"/>
      <c r="D44" s="20">
        <v>6570</v>
      </c>
      <c r="E44" s="48">
        <f>+'4. Proposed Cost of Ops - 172'!F44</f>
        <v>0</v>
      </c>
      <c r="F44" s="43">
        <f>+'4. Proposed Cost of Ops - 172'!G44</f>
        <v>0</v>
      </c>
      <c r="G44" s="43">
        <f>+'4. Proposed Cost of Ops - 172'!H44</f>
        <v>0</v>
      </c>
      <c r="H44" s="43">
        <f>+'4. Proposed Cost of Ops - 172'!I44</f>
        <v>0</v>
      </c>
      <c r="I44" s="428">
        <f t="shared" si="1"/>
        <v>0</v>
      </c>
      <c r="J44" s="44">
        <f>('6. Approved Cost of Ops - 174 '!G44-'7. Approved Proration - 175'!L44)*'7. Approved Proration - 175'!I44</f>
        <v>0</v>
      </c>
      <c r="K44" s="44">
        <f>'6. Approved Cost of Ops - 174 '!G44-'7. Approved Proration - 175'!L44-'7. Approved Proration - 175'!J44</f>
        <v>0</v>
      </c>
      <c r="L44" s="175">
        <f>'4. Proposed Cost of Ops - 172'!I44</f>
        <v>0</v>
      </c>
    </row>
    <row r="45" spans="1:12" ht="15" customHeight="1" x14ac:dyDescent="0.2">
      <c r="A45" s="249">
        <v>32</v>
      </c>
      <c r="B45" s="644" t="s">
        <v>198</v>
      </c>
      <c r="C45" s="645"/>
      <c r="D45" s="20">
        <v>6580</v>
      </c>
      <c r="E45" s="48">
        <f>+'4. Proposed Cost of Ops - 172'!F45</f>
        <v>0</v>
      </c>
      <c r="F45" s="43">
        <f>+'4. Proposed Cost of Ops - 172'!G45</f>
        <v>0</v>
      </c>
      <c r="G45" s="43">
        <f>+'4. Proposed Cost of Ops - 172'!H45</f>
        <v>0</v>
      </c>
      <c r="H45" s="43">
        <f>+'4. Proposed Cost of Ops - 172'!I45</f>
        <v>0</v>
      </c>
      <c r="I45" s="428">
        <f>IF($N$11=TRUE,E45,0)</f>
        <v>0</v>
      </c>
      <c r="J45" s="44">
        <f>('6. Approved Cost of Ops - 174 '!G45-'7. Approved Proration - 175'!L45)*'7. Approved Proration - 175'!I45</f>
        <v>0</v>
      </c>
      <c r="K45" s="44">
        <f>'6. Approved Cost of Ops - 174 '!G45-'7. Approved Proration - 175'!L45-'7. Approved Proration - 175'!J45</f>
        <v>0</v>
      </c>
      <c r="L45" s="175">
        <f>'4. Proposed Cost of Ops - 172'!I45</f>
        <v>0</v>
      </c>
    </row>
    <row r="46" spans="1:12" ht="15" customHeight="1" x14ac:dyDescent="0.2">
      <c r="A46" s="249">
        <v>33</v>
      </c>
      <c r="B46" s="819" t="s">
        <v>219</v>
      </c>
      <c r="C46" s="820"/>
      <c r="D46" s="82">
        <v>6590</v>
      </c>
      <c r="E46" s="48">
        <f>+'4. Proposed Cost of Ops - 172'!F46</f>
        <v>0</v>
      </c>
      <c r="F46" s="43">
        <f>+'4. Proposed Cost of Ops - 172'!G46</f>
        <v>0</v>
      </c>
      <c r="G46" s="43">
        <f>+'4. Proposed Cost of Ops - 172'!H46</f>
        <v>0</v>
      </c>
      <c r="H46" s="43">
        <f>+'4. Proposed Cost of Ops - 172'!I46</f>
        <v>0</v>
      </c>
      <c r="I46" s="428">
        <f>IF($N$11=TRUE,E46,0)</f>
        <v>0</v>
      </c>
      <c r="J46" s="44">
        <f>('6. Approved Cost of Ops - 174 '!G46-'7. Approved Proration - 175'!L46)*'7. Approved Proration - 175'!I46</f>
        <v>0</v>
      </c>
      <c r="K46" s="44">
        <f>'6. Approved Cost of Ops - 174 '!G46-'7. Approved Proration - 175'!L46-'7. Approved Proration - 175'!J46</f>
        <v>0</v>
      </c>
      <c r="L46" s="175">
        <f>'4. Proposed Cost of Ops - 172'!I46</f>
        <v>0</v>
      </c>
    </row>
    <row r="47" spans="1:12" ht="15" customHeight="1" x14ac:dyDescent="0.2">
      <c r="A47" s="249">
        <v>34</v>
      </c>
      <c r="B47" s="699" t="s">
        <v>81</v>
      </c>
      <c r="C47" s="669"/>
      <c r="D47" s="53" t="s">
        <v>17</v>
      </c>
      <c r="E47" s="71"/>
      <c r="F47" s="39">
        <f>SUM(F35:F46)</f>
        <v>0</v>
      </c>
      <c r="G47" s="110">
        <f>SUM(G35:G46)</f>
        <v>0</v>
      </c>
      <c r="H47" s="110">
        <f>SUM(H35:H46)</f>
        <v>0</v>
      </c>
      <c r="I47" s="111"/>
      <c r="J47" s="39">
        <f>SUM(J35:J46)</f>
        <v>0</v>
      </c>
      <c r="K47" s="39">
        <f>SUM(K35:K46)</f>
        <v>0</v>
      </c>
      <c r="L47" s="87">
        <f>SUM(L35:L46)</f>
        <v>0</v>
      </c>
    </row>
    <row r="48" spans="1:12" ht="15" customHeight="1" x14ac:dyDescent="0.2">
      <c r="A48" s="249"/>
      <c r="B48" s="649" t="s">
        <v>82</v>
      </c>
      <c r="C48" s="800"/>
      <c r="D48" s="20"/>
      <c r="E48" s="48"/>
      <c r="F48" s="44"/>
      <c r="G48" s="43"/>
      <c r="H48" s="43"/>
      <c r="I48" s="109"/>
      <c r="J48" s="44"/>
      <c r="K48" s="44"/>
      <c r="L48" s="175"/>
    </row>
    <row r="49" spans="1:12" ht="15" customHeight="1" x14ac:dyDescent="0.2">
      <c r="A49" s="249">
        <v>35</v>
      </c>
      <c r="B49" s="644" t="s">
        <v>18</v>
      </c>
      <c r="C49" s="645"/>
      <c r="D49" s="20">
        <v>6710</v>
      </c>
      <c r="E49" s="48">
        <f>+'4. Proposed Cost of Ops - 172'!F49</f>
        <v>0</v>
      </c>
      <c r="F49" s="43">
        <f>+'4. Proposed Cost of Ops - 172'!G49</f>
        <v>0</v>
      </c>
      <c r="G49" s="43">
        <f>+'4. Proposed Cost of Ops - 172'!H49</f>
        <v>0</v>
      </c>
      <c r="H49" s="43">
        <f>+'4. Proposed Cost of Ops - 172'!I49</f>
        <v>0</v>
      </c>
      <c r="I49" s="428">
        <f t="shared" ref="I49:I55" si="2">IF($N$11=TRUE,E49,0)</f>
        <v>0</v>
      </c>
      <c r="J49" s="44">
        <f>('6. Approved Cost of Ops - 174 '!G49-'7. Approved Proration - 175'!L49)*'7. Approved Proration - 175'!I49</f>
        <v>0</v>
      </c>
      <c r="K49" s="44">
        <f>'6. Approved Cost of Ops - 174 '!G49-'7. Approved Proration - 175'!L49-'7. Approved Proration - 175'!J49</f>
        <v>0</v>
      </c>
      <c r="L49" s="175">
        <f>'4. Proposed Cost of Ops - 172'!I49</f>
        <v>0</v>
      </c>
    </row>
    <row r="50" spans="1:12" ht="15" customHeight="1" x14ac:dyDescent="0.2">
      <c r="A50" s="249">
        <v>36</v>
      </c>
      <c r="B50" s="644" t="s">
        <v>19</v>
      </c>
      <c r="C50" s="645"/>
      <c r="D50" s="20">
        <v>6711</v>
      </c>
      <c r="E50" s="48">
        <f>+'4. Proposed Cost of Ops - 172'!F50</f>
        <v>0</v>
      </c>
      <c r="F50" s="43">
        <f>+'4. Proposed Cost of Ops - 172'!G50</f>
        <v>0</v>
      </c>
      <c r="G50" s="43">
        <f>+'4. Proposed Cost of Ops - 172'!H50</f>
        <v>0</v>
      </c>
      <c r="H50" s="43">
        <f>+'4. Proposed Cost of Ops - 172'!I50</f>
        <v>0</v>
      </c>
      <c r="I50" s="428">
        <f t="shared" si="2"/>
        <v>0</v>
      </c>
      <c r="J50" s="44">
        <f>('6. Approved Cost of Ops - 174 '!G50-'7. Approved Proration - 175'!L50)*'7. Approved Proration - 175'!I50</f>
        <v>0</v>
      </c>
      <c r="K50" s="44">
        <f>'6. Approved Cost of Ops - 174 '!G50-'7. Approved Proration - 175'!L50-'7. Approved Proration - 175'!J50</f>
        <v>0</v>
      </c>
      <c r="L50" s="175">
        <f>'4. Proposed Cost of Ops - 172'!I50</f>
        <v>0</v>
      </c>
    </row>
    <row r="51" spans="1:12" ht="15" customHeight="1" x14ac:dyDescent="0.2">
      <c r="A51" s="249">
        <v>37</v>
      </c>
      <c r="B51" s="644" t="s">
        <v>194</v>
      </c>
      <c r="C51" s="645"/>
      <c r="D51" s="20">
        <v>6720</v>
      </c>
      <c r="E51" s="48">
        <f>+'4. Proposed Cost of Ops - 172'!F51</f>
        <v>0</v>
      </c>
      <c r="F51" s="43">
        <f>+'4. Proposed Cost of Ops - 172'!G51</f>
        <v>0</v>
      </c>
      <c r="G51" s="43">
        <f>+'4. Proposed Cost of Ops - 172'!H51</f>
        <v>0</v>
      </c>
      <c r="H51" s="43">
        <f>+'4. Proposed Cost of Ops - 172'!I51</f>
        <v>0</v>
      </c>
      <c r="I51" s="428">
        <f t="shared" si="2"/>
        <v>0</v>
      </c>
      <c r="J51" s="44">
        <f>('6. Approved Cost of Ops - 174 '!G51-'7. Approved Proration - 175'!L51)*'7. Approved Proration - 175'!I51</f>
        <v>0</v>
      </c>
      <c r="K51" s="44">
        <f>'6. Approved Cost of Ops - 174 '!G51-'7. Approved Proration - 175'!L51-'7. Approved Proration - 175'!J51</f>
        <v>0</v>
      </c>
      <c r="L51" s="175">
        <f>'4. Proposed Cost of Ops - 172'!I51</f>
        <v>0</v>
      </c>
    </row>
    <row r="52" spans="1:12" ht="15" customHeight="1" x14ac:dyDescent="0.2">
      <c r="A52" s="249">
        <v>38</v>
      </c>
      <c r="B52" s="644" t="s">
        <v>20</v>
      </c>
      <c r="C52" s="645"/>
      <c r="D52" s="20">
        <v>6721</v>
      </c>
      <c r="E52" s="48">
        <f>+'4. Proposed Cost of Ops - 172'!F52</f>
        <v>0</v>
      </c>
      <c r="F52" s="43">
        <f>+'4. Proposed Cost of Ops - 172'!G52</f>
        <v>0</v>
      </c>
      <c r="G52" s="43">
        <f>+'4. Proposed Cost of Ops - 172'!H52</f>
        <v>0</v>
      </c>
      <c r="H52" s="43">
        <f>+'4. Proposed Cost of Ops - 172'!I52</f>
        <v>0</v>
      </c>
      <c r="I52" s="428">
        <f t="shared" si="2"/>
        <v>0</v>
      </c>
      <c r="J52" s="44">
        <f>('6. Approved Cost of Ops - 174 '!G52-'7. Approved Proration - 175'!L52)*'7. Approved Proration - 175'!I52</f>
        <v>0</v>
      </c>
      <c r="K52" s="44">
        <f>'6. Approved Cost of Ops - 174 '!G52-'7. Approved Proration - 175'!L52-'7. Approved Proration - 175'!J52</f>
        <v>0</v>
      </c>
      <c r="L52" s="175">
        <f>'4. Proposed Cost of Ops - 172'!I52</f>
        <v>0</v>
      </c>
    </row>
    <row r="53" spans="1:12" ht="15" customHeight="1" x14ac:dyDescent="0.2">
      <c r="A53" s="249">
        <v>39</v>
      </c>
      <c r="B53" s="644" t="s">
        <v>21</v>
      </c>
      <c r="C53" s="645"/>
      <c r="D53" s="20">
        <v>6722</v>
      </c>
      <c r="E53" s="48">
        <f>+'4. Proposed Cost of Ops - 172'!F53</f>
        <v>0</v>
      </c>
      <c r="F53" s="43">
        <f>+'4. Proposed Cost of Ops - 172'!G53</f>
        <v>0</v>
      </c>
      <c r="G53" s="43">
        <f>+'4. Proposed Cost of Ops - 172'!H53</f>
        <v>0</v>
      </c>
      <c r="H53" s="43">
        <f>+'4. Proposed Cost of Ops - 172'!I53</f>
        <v>0</v>
      </c>
      <c r="I53" s="428">
        <f t="shared" si="2"/>
        <v>0</v>
      </c>
      <c r="J53" s="44">
        <f>('6. Approved Cost of Ops - 174 '!G53-'7. Approved Proration - 175'!L53)*'7. Approved Proration - 175'!I53</f>
        <v>0</v>
      </c>
      <c r="K53" s="44">
        <f>'6. Approved Cost of Ops - 174 '!G53-'7. Approved Proration - 175'!L53-'7. Approved Proration - 175'!J53</f>
        <v>0</v>
      </c>
      <c r="L53" s="175">
        <f>'4. Proposed Cost of Ops - 172'!I53</f>
        <v>0</v>
      </c>
    </row>
    <row r="54" spans="1:12" ht="15" customHeight="1" x14ac:dyDescent="0.2">
      <c r="A54" s="249">
        <v>40</v>
      </c>
      <c r="B54" s="644" t="s">
        <v>195</v>
      </c>
      <c r="C54" s="645"/>
      <c r="D54" s="20">
        <v>6723</v>
      </c>
      <c r="E54" s="48">
        <f>+'4. Proposed Cost of Ops - 172'!F54</f>
        <v>0</v>
      </c>
      <c r="F54" s="43">
        <f>+'4. Proposed Cost of Ops - 172'!G54</f>
        <v>0</v>
      </c>
      <c r="G54" s="43">
        <f>+'4. Proposed Cost of Ops - 172'!H54</f>
        <v>0</v>
      </c>
      <c r="H54" s="43">
        <f>+'4. Proposed Cost of Ops - 172'!I54</f>
        <v>0</v>
      </c>
      <c r="I54" s="428">
        <f>IF($N$11=TRUE,E54,0)</f>
        <v>0</v>
      </c>
      <c r="J54" s="44">
        <f>('6. Approved Cost of Ops - 174 '!G54-'7. Approved Proration - 175'!L54)*'7. Approved Proration - 175'!I54</f>
        <v>0</v>
      </c>
      <c r="K54" s="44">
        <f>'6. Approved Cost of Ops - 174 '!G54-'7. Approved Proration - 175'!L54-'7. Approved Proration - 175'!J54</f>
        <v>0</v>
      </c>
      <c r="L54" s="175">
        <f>'4. Proposed Cost of Ops - 172'!I54</f>
        <v>0</v>
      </c>
    </row>
    <row r="55" spans="1:12" ht="15" customHeight="1" x14ac:dyDescent="0.2">
      <c r="A55" s="249">
        <v>41</v>
      </c>
      <c r="B55" s="794" t="s">
        <v>196</v>
      </c>
      <c r="C55" s="795"/>
      <c r="D55" s="83">
        <v>6790</v>
      </c>
      <c r="E55" s="48">
        <f>+'4. Proposed Cost of Ops - 172'!F55</f>
        <v>0</v>
      </c>
      <c r="F55" s="43">
        <f>+'4. Proposed Cost of Ops - 172'!G55</f>
        <v>0</v>
      </c>
      <c r="G55" s="43">
        <f>+'4. Proposed Cost of Ops - 172'!H55</f>
        <v>0</v>
      </c>
      <c r="H55" s="43">
        <f>+'4. Proposed Cost of Ops - 172'!I55</f>
        <v>0</v>
      </c>
      <c r="I55" s="428">
        <f t="shared" si="2"/>
        <v>0</v>
      </c>
      <c r="J55" s="44">
        <f>('6. Approved Cost of Ops - 174 '!G55-'7. Approved Proration - 175'!L55)*'7. Approved Proration - 175'!I55</f>
        <v>0</v>
      </c>
      <c r="K55" s="44">
        <f>'6. Approved Cost of Ops - 174 '!G55-'7. Approved Proration - 175'!L55-'7. Approved Proration - 175'!J55</f>
        <v>0</v>
      </c>
      <c r="L55" s="175">
        <f>'4. Proposed Cost of Ops - 172'!I55</f>
        <v>0</v>
      </c>
    </row>
    <row r="56" spans="1:12" ht="15" customHeight="1" x14ac:dyDescent="0.2">
      <c r="A56" s="249">
        <v>42</v>
      </c>
      <c r="B56" s="699" t="s">
        <v>83</v>
      </c>
      <c r="C56" s="669"/>
      <c r="D56" s="53" t="s">
        <v>22</v>
      </c>
      <c r="E56" s="71"/>
      <c r="F56" s="39">
        <f>SUM(F49:F55)</f>
        <v>0</v>
      </c>
      <c r="G56" s="110">
        <f>SUM(G49:G55)</f>
        <v>0</v>
      </c>
      <c r="H56" s="110">
        <f>SUM(H49:H55)</f>
        <v>0</v>
      </c>
      <c r="I56" s="111"/>
      <c r="J56" s="39">
        <f>SUM(J49:J55)</f>
        <v>0</v>
      </c>
      <c r="K56" s="39">
        <f>SUM(K49:K55)</f>
        <v>0</v>
      </c>
      <c r="L56" s="87">
        <f>SUM(L49:L55)</f>
        <v>0</v>
      </c>
    </row>
    <row r="57" spans="1:12" ht="15" customHeight="1" x14ac:dyDescent="0.2">
      <c r="A57" s="248"/>
      <c r="B57" s="816" t="s">
        <v>265</v>
      </c>
      <c r="C57" s="817"/>
      <c r="D57" s="63">
        <v>6990</v>
      </c>
      <c r="E57" s="48"/>
      <c r="F57" s="44"/>
      <c r="G57" s="43"/>
      <c r="H57" s="43"/>
      <c r="I57" s="109"/>
      <c r="J57" s="44"/>
      <c r="K57" s="44"/>
      <c r="L57" s="175"/>
    </row>
    <row r="58" spans="1:12" ht="15" customHeight="1" x14ac:dyDescent="0.2">
      <c r="A58" s="249">
        <v>43</v>
      </c>
      <c r="B58" s="644" t="s">
        <v>254</v>
      </c>
      <c r="C58" s="645"/>
      <c r="D58" s="82"/>
      <c r="E58" s="48">
        <f>+'4. Proposed Cost of Ops - 172'!F58</f>
        <v>0</v>
      </c>
      <c r="F58" s="43">
        <f>+'4. Proposed Cost of Ops - 172'!G58</f>
        <v>0</v>
      </c>
      <c r="G58" s="43">
        <f>+'4. Proposed Cost of Ops - 172'!H58</f>
        <v>0</v>
      </c>
      <c r="H58" s="43">
        <f>+'4. Proposed Cost of Ops - 172'!I58</f>
        <v>0</v>
      </c>
      <c r="I58" s="428">
        <f>IF($N$11=TRUE,E58,0)</f>
        <v>0</v>
      </c>
      <c r="J58" s="44">
        <f>('6. Approved Cost of Ops - 174 '!G58-'7. Approved Proration - 175'!L58)*'7. Approved Proration - 175'!I58</f>
        <v>0</v>
      </c>
      <c r="K58" s="44">
        <f>'6. Approved Cost of Ops - 174 '!G58-'7. Approved Proration - 175'!L58-'7. Approved Proration - 175'!J58</f>
        <v>0</v>
      </c>
      <c r="L58" s="175">
        <f>'4. Proposed Cost of Ops - 172'!I58</f>
        <v>0</v>
      </c>
    </row>
    <row r="59" spans="1:12" ht="15" customHeight="1" x14ac:dyDescent="0.2">
      <c r="A59" s="249">
        <v>44</v>
      </c>
      <c r="B59" s="644" t="s">
        <v>259</v>
      </c>
      <c r="C59" s="645"/>
      <c r="D59" s="82"/>
      <c r="E59" s="48">
        <f>+'4. Proposed Cost of Ops - 172'!F59</f>
        <v>0</v>
      </c>
      <c r="F59" s="43">
        <f>+'4. Proposed Cost of Ops - 172'!G59</f>
        <v>0</v>
      </c>
      <c r="G59" s="43">
        <f>+'4. Proposed Cost of Ops - 172'!H59</f>
        <v>0</v>
      </c>
      <c r="H59" s="43">
        <f>+'4. Proposed Cost of Ops - 172'!I59</f>
        <v>0</v>
      </c>
      <c r="I59" s="428">
        <f>IF($N$11=TRUE,E59,0)</f>
        <v>0</v>
      </c>
      <c r="J59" s="44">
        <f>('6. Approved Cost of Ops - 174 '!G59-'7. Approved Proration - 175'!L59)*'7. Approved Proration - 175'!I59</f>
        <v>0</v>
      </c>
      <c r="K59" s="44">
        <f>'6. Approved Cost of Ops - 174 '!G59-'7. Approved Proration - 175'!L59-'7. Approved Proration - 175'!J59</f>
        <v>0</v>
      </c>
      <c r="L59" s="175">
        <f>'4. Proposed Cost of Ops - 172'!I59</f>
        <v>0</v>
      </c>
    </row>
    <row r="60" spans="1:12" ht="15" customHeight="1" x14ac:dyDescent="0.2">
      <c r="A60" s="249">
        <v>45</v>
      </c>
      <c r="B60" s="644" t="s">
        <v>258</v>
      </c>
      <c r="C60" s="645"/>
      <c r="D60" s="82"/>
      <c r="E60" s="48">
        <f>+'4. Proposed Cost of Ops - 172'!F60</f>
        <v>0</v>
      </c>
      <c r="F60" s="43">
        <f>+'4. Proposed Cost of Ops - 172'!G60</f>
        <v>0</v>
      </c>
      <c r="G60" s="43">
        <f>+'4. Proposed Cost of Ops - 172'!H60</f>
        <v>0</v>
      </c>
      <c r="H60" s="43">
        <f>+'4. Proposed Cost of Ops - 172'!I60</f>
        <v>0</v>
      </c>
      <c r="I60" s="428">
        <f>IF($N$11=TRUE,E60,0)</f>
        <v>0</v>
      </c>
      <c r="J60" s="44">
        <f>('6. Approved Cost of Ops - 174 '!G60-'7. Approved Proration - 175'!L60)*'7. Approved Proration - 175'!I60</f>
        <v>0</v>
      </c>
      <c r="K60" s="44">
        <f>'6. Approved Cost of Ops - 174 '!G60-'7. Approved Proration - 175'!L60-'7. Approved Proration - 175'!J60</f>
        <v>0</v>
      </c>
      <c r="L60" s="175">
        <f>'4. Proposed Cost of Ops - 172'!I60</f>
        <v>0</v>
      </c>
    </row>
    <row r="61" spans="1:12" ht="15" customHeight="1" x14ac:dyDescent="0.2">
      <c r="A61" s="249">
        <v>46</v>
      </c>
      <c r="B61" s="644" t="s">
        <v>270</v>
      </c>
      <c r="C61" s="645"/>
      <c r="D61" s="82"/>
      <c r="E61" s="48">
        <f>+'4. Proposed Cost of Ops - 172'!F61</f>
        <v>0</v>
      </c>
      <c r="F61" s="43">
        <f>+'4. Proposed Cost of Ops - 172'!G61</f>
        <v>0</v>
      </c>
      <c r="G61" s="43">
        <f>+'4. Proposed Cost of Ops - 172'!H61</f>
        <v>0</v>
      </c>
      <c r="H61" s="43">
        <f>+'4. Proposed Cost of Ops - 172'!I61</f>
        <v>0</v>
      </c>
      <c r="I61" s="428">
        <f>IF($N$11=TRUE,E61,0)</f>
        <v>0</v>
      </c>
      <c r="J61" s="44">
        <f>('6. Approved Cost of Ops - 174 '!G61-'7. Approved Proration - 175'!L61)*'7. Approved Proration - 175'!I61</f>
        <v>0</v>
      </c>
      <c r="K61" s="44">
        <f>'6. Approved Cost of Ops - 174 '!G61-'7. Approved Proration - 175'!L61-'7. Approved Proration - 175'!J61</f>
        <v>0</v>
      </c>
      <c r="L61" s="175">
        <f>'4. Proposed Cost of Ops - 172'!I61</f>
        <v>0</v>
      </c>
    </row>
    <row r="62" spans="1:12" ht="15" customHeight="1" x14ac:dyDescent="0.2">
      <c r="A62" s="249">
        <v>47</v>
      </c>
      <c r="B62" s="644" t="s">
        <v>267</v>
      </c>
      <c r="C62" s="645"/>
      <c r="D62" s="82">
        <v>6990</v>
      </c>
      <c r="E62" s="48">
        <f>+'4. Proposed Cost of Ops - 172'!F62</f>
        <v>0</v>
      </c>
      <c r="F62" s="43">
        <f>+'4. Proposed Cost of Ops - 172'!G62</f>
        <v>0</v>
      </c>
      <c r="G62" s="43">
        <f>+'4. Proposed Cost of Ops - 172'!H62</f>
        <v>0</v>
      </c>
      <c r="H62" s="43">
        <f>+'4. Proposed Cost of Ops - 172'!I62</f>
        <v>0</v>
      </c>
      <c r="I62" s="428">
        <f>IF($N$11=TRUE,E62,0)</f>
        <v>0</v>
      </c>
      <c r="J62" s="44">
        <f>('6. Approved Cost of Ops - 174 '!G62-'7. Approved Proration - 175'!L62)*'7. Approved Proration - 175'!I62</f>
        <v>0</v>
      </c>
      <c r="K62" s="44">
        <f>'6. Approved Cost of Ops - 174 '!G62-'7. Approved Proration - 175'!L62-'7. Approved Proration - 175'!J62</f>
        <v>0</v>
      </c>
      <c r="L62" s="175">
        <f>'4. Proposed Cost of Ops - 172'!I62</f>
        <v>0</v>
      </c>
    </row>
    <row r="63" spans="1:12" ht="15" customHeight="1" x14ac:dyDescent="0.2">
      <c r="A63" s="250">
        <v>48</v>
      </c>
      <c r="B63" s="672" t="s">
        <v>266</v>
      </c>
      <c r="C63" s="673"/>
      <c r="D63" s="53" t="s">
        <v>23</v>
      </c>
      <c r="E63" s="72"/>
      <c r="F63" s="39">
        <f>SUM(F58:F62)</f>
        <v>0</v>
      </c>
      <c r="G63" s="39">
        <f>SUM(G58:G62)</f>
        <v>0</v>
      </c>
      <c r="H63" s="110">
        <f>SUM(H58:H62)</f>
        <v>0</v>
      </c>
      <c r="I63" s="111"/>
      <c r="J63" s="39">
        <f>SUM(J58:J62)</f>
        <v>0</v>
      </c>
      <c r="K63" s="39">
        <f>SUM(K58:K62)</f>
        <v>0</v>
      </c>
      <c r="L63" s="87">
        <f>SUM(L58:L62)</f>
        <v>0</v>
      </c>
    </row>
    <row r="64" spans="1:12" ht="15" customHeight="1" x14ac:dyDescent="0.2">
      <c r="A64" s="250">
        <v>49</v>
      </c>
      <c r="B64" s="700" t="s">
        <v>92</v>
      </c>
      <c r="C64" s="667"/>
      <c r="D64" s="54" t="s">
        <v>24</v>
      </c>
      <c r="E64" s="73"/>
      <c r="F64" s="40">
        <f>F27+F33+F47+F56+F63</f>
        <v>0</v>
      </c>
      <c r="G64" s="40">
        <f>G27+G33+G47+G56+G63</f>
        <v>0</v>
      </c>
      <c r="H64" s="112">
        <f>H27+H33+H47+H56+H63</f>
        <v>0</v>
      </c>
      <c r="I64" s="111"/>
      <c r="J64" s="40">
        <f>J27+J33+J47+J56+J63</f>
        <v>0</v>
      </c>
      <c r="K64" s="40">
        <f>K27+K33+K47+K56+K63</f>
        <v>0</v>
      </c>
      <c r="L64" s="41">
        <f>L27+L33+L47+L56+L63</f>
        <v>0</v>
      </c>
    </row>
    <row r="65" spans="1:12" ht="93" customHeight="1" thickBot="1" x14ac:dyDescent="0.25">
      <c r="A65" s="827"/>
      <c r="B65" s="828"/>
      <c r="C65" s="828"/>
      <c r="D65" s="828"/>
      <c r="E65" s="828"/>
      <c r="F65" s="828"/>
      <c r="G65" s="828"/>
      <c r="H65" s="828"/>
      <c r="I65" s="828"/>
      <c r="J65" s="828"/>
      <c r="K65" s="828"/>
      <c r="L65" s="829"/>
    </row>
    <row r="66" spans="1:12" ht="15" customHeight="1" thickTop="1" x14ac:dyDescent="0.2"/>
    <row r="67" spans="1:12" ht="15" customHeight="1" x14ac:dyDescent="0.2"/>
    <row r="68" spans="1:12" ht="15" customHeight="1" x14ac:dyDescent="0.2"/>
    <row r="69" spans="1:12" ht="15" customHeight="1" x14ac:dyDescent="0.2"/>
    <row r="70" spans="1:12" ht="15" customHeight="1" x14ac:dyDescent="0.2"/>
    <row r="71" spans="1:12" ht="15" customHeight="1" x14ac:dyDescent="0.2"/>
    <row r="72" spans="1:12" ht="15" customHeight="1" x14ac:dyDescent="0.2"/>
    <row r="73" spans="1:12" ht="15" customHeight="1" x14ac:dyDescent="0.2"/>
    <row r="74" spans="1:12" ht="15" customHeight="1" x14ac:dyDescent="0.2"/>
    <row r="75" spans="1:12" ht="15" customHeight="1" x14ac:dyDescent="0.2"/>
    <row r="76" spans="1:12" ht="15" customHeight="1" x14ac:dyDescent="0.2"/>
    <row r="77" spans="1:12" ht="15" customHeight="1" x14ac:dyDescent="0.2"/>
    <row r="78" spans="1:12" ht="15" customHeight="1" x14ac:dyDescent="0.2"/>
    <row r="79" spans="1:12" ht="15" customHeight="1" x14ac:dyDescent="0.2"/>
  </sheetData>
  <sheetProtection algorithmName="SHA-512" hashValue="hQOna4+Sm70tMGuhUVgWW5frUenCVWzj2siqXBEooRU7dwbToXP7SX0wPtxdrbAh+9SVrByXXCLOv19JwXEu5A==" saltValue="iV2ShYy/p7Xf2dfn+GychQ==" spinCount="100000" sheet="1" objects="1" scenarios="1"/>
  <protectedRanges>
    <protectedRange password="CC26" sqref="C6" name="Range1" securityDescriptor="O:WDG:WDD:(A;;CC;;;S-1-5-21-49831181-50866639-1143292059-10685)(A;;CC;;;S-1-5-21-49831181-50866639-1143292059-10686)(A;;CC;;;S-1-5-21-49831181-50866639-1143292059-10701)(A;;CC;;;S-1-5-21-49831181-50866639-1143292059-10774)(A;;CC;;;S-1-5-21-49831181-50866639-1143292059-10896)(A;;CC;;;S-1-5-21-49831181-50866639-1143292059-11312)(A;;CC;;;S-1-5-21-49831181-50866639-1143292059-11496)(A;;CC;;;S-1-5-21-49831181-50866639-1143292059-11502)(A;;CC;;;S-1-5-21-49831181-50866639-1143292059-11690)(A;;CC;;;S-1-5-21-49831181-50866639-1143292059-11877)(A;;CC;;;S-1-5-21-49831181-50866639-1143292059-12057)(A;;CC;;;S-1-5-21-49831181-50866639-1143292059-12358)(A;;CC;;;S-1-5-21-49831181-50866639-1143292059-12909)(A;;CC;;;S-1-5-21-49831181-50866639-1143292059-13413)(A;;CC;;;S-1-5-21-49831181-50866639-1143292059-13416)(A;;CC;;;S-1-5-21-49831181-50866639-1143292059-1389)(A;;CC;;;S-1-5-21-49831181-50866639-1143292059-14616)(A;;CC;;;S-1-5-21-49831181-50866639-1143292059-14618)(A;;CC;;;S-1-5-21-49831181-50866639-1143292059-15366)(A;;CC;;;S-1-5-21-49831181-50866639-1143292059-1582)(A;;CC;;;S-1-5-21-49831181-50866639-1143292059-1670)(A;;CC;;;S-1-5-21-49831181-50866639-1143292059-1760)(A;;CC;;;S-1-5-21-49831181-50866639-1143292059-1765)(A;;CC;;;S-1-5-21-49831181-50866639-1143292059-1770)(A;;CC;;;S-1-5-21-49831181-50866639-1143292059-1935)(A;;CC;;;S-1-5-21-49831181-50866639-1143292059-2306)(A;;CC;;;S-1-5-21-49831181-50866639-1143292059-3388)(A;;CC;;;S-1-5-21-49831181-50866639-1143292059-4453)(A;;CC;;;S-1-5-21-49831181-50866639-1143292059-5848)(A;;CC;;;S-1-5-21-49831181-50866639-1143292059-6863)(A;;CC;;;S-1-5-21-49831181-50866639-1143292059-7118)(A;;CC;;;S-1-5-21-49831181-50866639-1143292059-7272)(A;;CC;;;S-1-5-21-49831181-50866639-1143292059-7311)(A;;CC;;;S-1-5-21-49831181-50866639-1143292059-7328)(A;;CC;;;S-1-5-21-49831181-50866639-1143292059-7713)(A;;CC;;;S-1-5-21-49831181-50866639-1143292059-7770)(A;;CC;;;S-1-5-21-49831181-50866639-1143292059-8018)(A;;CC;;;S-1-5-21-49831181-50866639-1143292059-8023)(A;;CC;;;S-1-5-21-49831181-50866639-1143292059-8320)(A;;CC;;;S-1-5-21-49831181-50866639-1143292059-8739)(A;;CC;;;S-1-5-21-49831181-50866639-1143292059-8741)(A;;CC;;;S-1-5-21-49831181-50866639-1143292059-8748)(A;;CC;;;S-1-5-21-49831181-50866639-1143292059-8749)(A;;CC;;;S-1-5-21-49831181-50866639-1143292059-8751)(A;;CC;;;S-1-5-21-49831181-50866639-1143292059-9334)(A;;CC;;;S-1-5-21-49831181-50866639-1143292059-9379)"/>
  </protectedRanges>
  <mergeCells count="76">
    <mergeCell ref="E4:F4"/>
    <mergeCell ref="G4:H4"/>
    <mergeCell ref="A65:L65"/>
    <mergeCell ref="B37:C37"/>
    <mergeCell ref="B49:C49"/>
    <mergeCell ref="B39:C39"/>
    <mergeCell ref="B40:C40"/>
    <mergeCell ref="B41:C41"/>
    <mergeCell ref="B42:C42"/>
    <mergeCell ref="B63:C63"/>
    <mergeCell ref="B55:C55"/>
    <mergeCell ref="B64:C64"/>
    <mergeCell ref="B56:C56"/>
    <mergeCell ref="B57:C57"/>
    <mergeCell ref="B50:C50"/>
    <mergeCell ref="B51:C51"/>
    <mergeCell ref="B62:C62"/>
    <mergeCell ref="B34:C34"/>
    <mergeCell ref="B54:C54"/>
    <mergeCell ref="B47:C47"/>
    <mergeCell ref="B48:C48"/>
    <mergeCell ref="B38:C38"/>
    <mergeCell ref="B53:C53"/>
    <mergeCell ref="B35:C35"/>
    <mergeCell ref="B36:C36"/>
    <mergeCell ref="B45:C45"/>
    <mergeCell ref="B44:C44"/>
    <mergeCell ref="B46:C46"/>
    <mergeCell ref="B59:C59"/>
    <mergeCell ref="B61:C61"/>
    <mergeCell ref="B60:C60"/>
    <mergeCell ref="B58:C58"/>
    <mergeCell ref="B52:C52"/>
    <mergeCell ref="B43:C43"/>
    <mergeCell ref="B24:C24"/>
    <mergeCell ref="B25:C25"/>
    <mergeCell ref="B26:C26"/>
    <mergeCell ref="B27:C27"/>
    <mergeCell ref="B28:C28"/>
    <mergeCell ref="B33:C33"/>
    <mergeCell ref="B29:C29"/>
    <mergeCell ref="B30:C30"/>
    <mergeCell ref="B31:C31"/>
    <mergeCell ref="B32:C32"/>
    <mergeCell ref="A7:B7"/>
    <mergeCell ref="B20:C20"/>
    <mergeCell ref="B21:C21"/>
    <mergeCell ref="B22:C22"/>
    <mergeCell ref="B23:C23"/>
    <mergeCell ref="B8:D8"/>
    <mergeCell ref="B9:C10"/>
    <mergeCell ref="B11:C11"/>
    <mergeCell ref="B12:C12"/>
    <mergeCell ref="B16:C16"/>
    <mergeCell ref="B17:C17"/>
    <mergeCell ref="B13:C13"/>
    <mergeCell ref="B14:C14"/>
    <mergeCell ref="B19:C19"/>
    <mergeCell ref="B18:C18"/>
    <mergeCell ref="B15:C15"/>
    <mergeCell ref="A1:L1"/>
    <mergeCell ref="K6:L6"/>
    <mergeCell ref="D9:D10"/>
    <mergeCell ref="E8:H8"/>
    <mergeCell ref="I8:L8"/>
    <mergeCell ref="G3:H3"/>
    <mergeCell ref="D2:E2"/>
    <mergeCell ref="G5:H5"/>
    <mergeCell ref="G6:H6"/>
    <mergeCell ref="A8:A10"/>
    <mergeCell ref="E3:F3"/>
    <mergeCell ref="E5:F5"/>
    <mergeCell ref="A6:B6"/>
    <mergeCell ref="E6:F6"/>
    <mergeCell ref="A4:B4"/>
    <mergeCell ref="A5:B5"/>
  </mergeCells>
  <phoneticPr fontId="0" type="noConversion"/>
  <printOptions horizontalCentered="1"/>
  <pageMargins left="0.25" right="0.25" top="0.3" bottom="0.25" header="0" footer="0"/>
  <pageSetup scale="68" pageOrder="overThenDown" orientation="portrait" r:id="rId1"/>
  <headerFooter>
    <oddHeader>&amp;L&amp;9STATE OF CALIFORNIA</oddHeader>
    <oddFooter>&amp;C&amp;9Page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55" r:id="rId4" name="Check Box 63">
              <controlPr locked="0" defaultSize="0" autoFill="0" autoLine="0" autoPict="0" altText="Checkbox is for HCD use only. _x000a_AMC Fiscal Representative will use checkbox to apply the approved proration.">
                <anchor moveWithCells="1">
                  <from>
                    <xdr:col>8</xdr:col>
                    <xdr:colOff>247650</xdr:colOff>
                    <xdr:row>9</xdr:row>
                    <xdr:rowOff>247650</xdr:rowOff>
                  </from>
                  <to>
                    <xdr:col>8</xdr:col>
                    <xdr:colOff>552450</xdr:colOff>
                    <xdr:row>10</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1">
    <tabColor theme="9" tint="0.59999389629810485"/>
  </sheetPr>
  <dimension ref="A1:U110"/>
  <sheetViews>
    <sheetView showGridLines="0" showRuler="0" zoomScaleNormal="100" workbookViewId="0">
      <pane ySplit="9" topLeftCell="A10" activePane="bottomLeft" state="frozen"/>
      <selection pane="bottomLeft" activeCell="E21" sqref="E21"/>
    </sheetView>
  </sheetViews>
  <sheetFormatPr defaultColWidth="0" defaultRowHeight="12.75" zeroHeight="1" x14ac:dyDescent="0.2"/>
  <cols>
    <col min="1" max="1" width="3" style="5" customWidth="1"/>
    <col min="2" max="2" width="17.28515625" style="4" customWidth="1"/>
    <col min="3" max="3" width="34" style="4" customWidth="1"/>
    <col min="4" max="4" width="6.28515625" style="4" customWidth="1"/>
    <col min="5" max="7" width="11" style="15" customWidth="1"/>
    <col min="8" max="13" width="11" style="4" customWidth="1"/>
    <col min="14" max="14" width="11" style="16" customWidth="1"/>
    <col min="15" max="15" width="35.7109375" style="4" customWidth="1"/>
    <col min="16" max="19" width="9.140625" style="4" hidden="1" customWidth="1"/>
    <col min="20" max="21" width="9.140625" style="4" customWidth="1"/>
    <col min="22" max="16384" width="9.140625" style="4" hidden="1"/>
  </cols>
  <sheetData>
    <row r="1" spans="1:19" ht="16.5" customHeight="1" x14ac:dyDescent="0.2">
      <c r="A1" s="637" t="s">
        <v>298</v>
      </c>
      <c r="B1" s="638"/>
      <c r="C1" s="638"/>
      <c r="D1" s="638"/>
      <c r="E1" s="638"/>
      <c r="F1" s="638"/>
      <c r="G1" s="638"/>
      <c r="H1" s="638"/>
      <c r="I1" s="638"/>
      <c r="J1" s="638"/>
      <c r="K1" s="638"/>
      <c r="L1" s="638"/>
      <c r="M1" s="638"/>
      <c r="N1" s="638"/>
      <c r="O1" s="639"/>
    </row>
    <row r="2" spans="1:19" ht="11.85" customHeight="1" x14ac:dyDescent="0.2">
      <c r="B2" s="423">
        <f>'1. Operating Budget Instruction'!K1</f>
        <v>45763</v>
      </c>
      <c r="G2" s="216" t="s">
        <v>59</v>
      </c>
      <c r="H2" s="318" t="str">
        <f>IF(' 2. Checklist and Cert - 170'!D2="","",' 2. Checklist and Cert - 170'!D2)</f>
        <v/>
      </c>
      <c r="I2" s="219" t="s">
        <v>1</v>
      </c>
      <c r="J2" s="318" t="str">
        <f>IF(' 2. Checklist and Cert - 170'!F2="","",' 2. Checklist and Cert - 170'!F2)</f>
        <v/>
      </c>
      <c r="O2" s="194"/>
    </row>
    <row r="3" spans="1:19" ht="11.85" customHeight="1" x14ac:dyDescent="0.2">
      <c r="E3" s="774" t="s">
        <v>3</v>
      </c>
      <c r="F3" s="774"/>
      <c r="G3" s="848" t="str">
        <f>IF('9. Actual Cost of Ops-181'!C6="","",'9. Actual Cost of Ops-181'!C6)</f>
        <v/>
      </c>
      <c r="H3" s="848"/>
      <c r="I3" s="774" t="str">
        <f>' 2. Checklist and Cert - 170'!A5</f>
        <v xml:space="preserve">1. HCD/CalHFA #:  </v>
      </c>
      <c r="J3" s="774"/>
      <c r="K3" s="848" t="str">
        <f>IF(' 2. Checklist and Cert - 170'!D5="","",' 2. Checklist and Cert - 170'!D5)</f>
        <v/>
      </c>
      <c r="L3" s="848">
        <f>' 2. Checklist and Cert - 170'!J2</f>
        <v>0</v>
      </c>
      <c r="M3" s="17"/>
      <c r="N3" s="216" t="str">
        <f>CONCATENATE(' 2. Checklist and Cert - 170'!M2," Units:")</f>
        <v>Assisted Units:</v>
      </c>
      <c r="O3" s="217">
        <f>IF(' 2. Checklist and Cert - 170'!L2="",0,' 2. Checklist and Cert - 170'!L2)</f>
        <v>0</v>
      </c>
    </row>
    <row r="4" spans="1:19" ht="11.85" customHeight="1" x14ac:dyDescent="0.2">
      <c r="A4" s="849" t="s">
        <v>2</v>
      </c>
      <c r="B4" s="849"/>
      <c r="C4" s="171" t="str">
        <f>IF(' 2. Checklist and Cert - 170'!D3="","",' 2. Checklist and Cert - 170'!D3)</f>
        <v/>
      </c>
      <c r="E4" s="774" t="s">
        <v>153</v>
      </c>
      <c r="F4" s="774"/>
      <c r="G4" s="850" t="str">
        <f>IF('9. Actual Cost of Ops-181'!H4="","",'9. Actual Cost of Ops-181'!H4)</f>
        <v/>
      </c>
      <c r="H4" s="850"/>
      <c r="I4" s="774" t="str">
        <f>' 2. Checklist and Cert - 170'!A6</f>
        <v xml:space="preserve">2. HCD/CalHFA #:  </v>
      </c>
      <c r="J4" s="774"/>
      <c r="K4" s="848" t="str">
        <f>IF(' 2. Checklist and Cert - 170'!D6="","",' 2. Checklist and Cert - 170'!D6)</f>
        <v/>
      </c>
      <c r="L4" s="848">
        <f>' 2. Checklist and Cert - 170'!J3</f>
        <v>0</v>
      </c>
      <c r="N4" s="216" t="s">
        <v>149</v>
      </c>
      <c r="O4" s="218">
        <f>IF(' 2. Checklist and Cert - 170'!L3="",0,' 2. Checklist and Cert - 170'!L3)</f>
        <v>0</v>
      </c>
    </row>
    <row r="5" spans="1:19" x14ac:dyDescent="0.2">
      <c r="A5" s="849" t="s">
        <v>148</v>
      </c>
      <c r="B5" s="849"/>
      <c r="C5" s="171" t="str">
        <f>IF(' 2. Checklist and Cert - 170'!D4="","",' 2. Checklist and Cert - 170'!D4)</f>
        <v/>
      </c>
      <c r="E5" s="774" t="s">
        <v>154</v>
      </c>
      <c r="F5" s="774"/>
      <c r="G5" s="850" t="str">
        <f>IF('9. Actual Cost of Ops-181'!H5="","",'9. Actual Cost of Ops-181'!H5)</f>
        <v/>
      </c>
      <c r="H5" s="850"/>
      <c r="I5" s="774" t="str">
        <f>' 2. Checklist and Cert - 170'!A7</f>
        <v xml:space="preserve">3. HCD/CalHFA #:  </v>
      </c>
      <c r="J5" s="774"/>
      <c r="K5" s="830" t="str">
        <f>IF(' 2. Checklist and Cert - 170'!D7="","",' 2. Checklist and Cert - 170'!D7)</f>
        <v/>
      </c>
      <c r="L5" s="830">
        <f>' 2. Checklist and Cert - 170'!J4</f>
        <v>0</v>
      </c>
      <c r="N5" s="216" t="s">
        <v>171</v>
      </c>
      <c r="O5" s="247">
        <f>IF(' 2. Checklist and Cert - 170'!$L$5=0,' 2. Checklist and Cert - 170'!$L$4,' 2. Checklist and Cert - 170'!$L$5)</f>
        <v>0</v>
      </c>
    </row>
    <row r="6" spans="1:19" ht="13.15" customHeight="1" thickBot="1" x14ac:dyDescent="0.25">
      <c r="I6" s="774" t="str">
        <f>' 2. Checklist and Cert - 170'!A8</f>
        <v xml:space="preserve">4. HCD/CalHFA #:  </v>
      </c>
      <c r="J6" s="774"/>
      <c r="K6" s="830" t="str">
        <f>IF(' 2. Checklist and Cert - 170'!D8="","",' 2. Checklist and Cert - 170'!D8)</f>
        <v/>
      </c>
      <c r="L6" s="830">
        <f>' 2. Checklist and Cert - 170'!J5</f>
        <v>0</v>
      </c>
      <c r="M6" s="17"/>
      <c r="N6" s="76"/>
    </row>
    <row r="7" spans="1:19" ht="11.65" customHeight="1" thickTop="1" x14ac:dyDescent="0.2">
      <c r="A7" s="808" t="s">
        <v>145</v>
      </c>
      <c r="B7" s="851" t="s">
        <v>60</v>
      </c>
      <c r="C7" s="630"/>
      <c r="D7" s="854" t="s">
        <v>215</v>
      </c>
      <c r="E7" s="844" t="str">
        <f>CONCATENATE(' 2. Checklist and Cert - 170'!M2," Units")</f>
        <v>Assisted Units</v>
      </c>
      <c r="F7" s="840"/>
      <c r="G7" s="844" t="str">
        <f>CONCATENATE("Non-",' 2. Checklist and Cert - 170'!$M$2," Units")</f>
        <v>Non-Assisted Units</v>
      </c>
      <c r="H7" s="840"/>
      <c r="I7" s="844" t="s">
        <v>27</v>
      </c>
      <c r="J7" s="840"/>
      <c r="K7" s="839" t="s">
        <v>85</v>
      </c>
      <c r="L7" s="839"/>
      <c r="M7" s="840"/>
      <c r="N7" s="841" t="s">
        <v>304</v>
      </c>
      <c r="O7" s="805" t="s">
        <v>303</v>
      </c>
    </row>
    <row r="8" spans="1:19" ht="11.65" customHeight="1" x14ac:dyDescent="0.2">
      <c r="A8" s="809"/>
      <c r="B8" s="852"/>
      <c r="C8" s="853"/>
      <c r="D8" s="855"/>
      <c r="E8" s="212" t="s">
        <v>43</v>
      </c>
      <c r="F8" s="199" t="s">
        <v>44</v>
      </c>
      <c r="G8" s="212" t="s">
        <v>45</v>
      </c>
      <c r="H8" s="199" t="s">
        <v>46</v>
      </c>
      <c r="I8" s="212" t="s">
        <v>48</v>
      </c>
      <c r="J8" s="199" t="s">
        <v>49</v>
      </c>
      <c r="K8" s="215" t="s">
        <v>50</v>
      </c>
      <c r="L8" s="206" t="s">
        <v>51</v>
      </c>
      <c r="M8" s="199" t="s">
        <v>52</v>
      </c>
      <c r="N8" s="842"/>
      <c r="O8" s="846"/>
    </row>
    <row r="9" spans="1:19" ht="35.25" customHeight="1" x14ac:dyDescent="0.2">
      <c r="A9" s="632"/>
      <c r="B9" s="813"/>
      <c r="C9" s="704"/>
      <c r="D9" s="634"/>
      <c r="E9" s="448" t="s">
        <v>168</v>
      </c>
      <c r="F9" s="240" t="s">
        <v>308</v>
      </c>
      <c r="G9" s="448" t="s">
        <v>168</v>
      </c>
      <c r="H9" s="240" t="s">
        <v>308</v>
      </c>
      <c r="I9" s="448" t="s">
        <v>168</v>
      </c>
      <c r="J9" s="240" t="s">
        <v>308</v>
      </c>
      <c r="K9" s="448" t="s">
        <v>284</v>
      </c>
      <c r="L9" s="476" t="s">
        <v>168</v>
      </c>
      <c r="M9" s="240" t="s">
        <v>308</v>
      </c>
      <c r="N9" s="843"/>
      <c r="O9" s="847"/>
    </row>
    <row r="10" spans="1:19" ht="11.25" customHeight="1" x14ac:dyDescent="0.2">
      <c r="A10" s="249"/>
      <c r="B10" s="655" t="s">
        <v>63</v>
      </c>
      <c r="C10" s="653"/>
      <c r="D10" s="20"/>
      <c r="E10" s="13"/>
      <c r="F10" s="190"/>
      <c r="G10" s="13"/>
      <c r="H10" s="190"/>
      <c r="I10" s="13"/>
      <c r="J10" s="190"/>
      <c r="K10" s="13"/>
      <c r="L10" s="186"/>
      <c r="M10" s="190"/>
      <c r="N10" s="155"/>
      <c r="O10" s="378"/>
      <c r="P10" s="242" t="b">
        <v>0</v>
      </c>
      <c r="Q10" s="242" t="b">
        <v>0</v>
      </c>
      <c r="R10" s="242" t="b">
        <v>0</v>
      </c>
      <c r="S10" s="242" t="b">
        <v>0</v>
      </c>
    </row>
    <row r="11" spans="1:19" ht="12.75" customHeight="1" x14ac:dyDescent="0.2">
      <c r="A11" s="249">
        <v>1</v>
      </c>
      <c r="B11" s="654" t="s">
        <v>152</v>
      </c>
      <c r="C11" s="645"/>
      <c r="D11" s="20">
        <v>5120</v>
      </c>
      <c r="E11" s="439">
        <v>100000</v>
      </c>
      <c r="F11" s="437">
        <f>IF($P$10=TRUE,E11,0)</f>
        <v>0</v>
      </c>
      <c r="G11" s="439">
        <v>0</v>
      </c>
      <c r="H11" s="437">
        <f>IF($Q$10=TRUE,G11,0)</f>
        <v>0</v>
      </c>
      <c r="I11" s="13"/>
      <c r="J11" s="190"/>
      <c r="K11" s="13">
        <f>'5. Approved Cash Flow - 173'!L12</f>
        <v>0</v>
      </c>
      <c r="L11" s="186">
        <f t="shared" ref="L11:M15" si="0">E11+G11+I11</f>
        <v>100000</v>
      </c>
      <c r="M11" s="190">
        <f t="shared" si="0"/>
        <v>0</v>
      </c>
      <c r="N11" s="155">
        <f t="shared" ref="N11:N16" si="1">K11-M11</f>
        <v>0</v>
      </c>
      <c r="O11" s="418"/>
    </row>
    <row r="12" spans="1:19" ht="12.75" customHeight="1" x14ac:dyDescent="0.2">
      <c r="A12" s="249">
        <v>2</v>
      </c>
      <c r="B12" s="654" t="s">
        <v>89</v>
      </c>
      <c r="C12" s="645"/>
      <c r="D12" s="20">
        <v>5121</v>
      </c>
      <c r="E12" s="439">
        <v>0</v>
      </c>
      <c r="F12" s="437">
        <f>IF($P$10=TRUE,E12,0)</f>
        <v>0</v>
      </c>
      <c r="G12" s="439">
        <v>0</v>
      </c>
      <c r="H12" s="437">
        <f>IF($Q$10=TRUE,G12,0)</f>
        <v>0</v>
      </c>
      <c r="I12" s="13"/>
      <c r="J12" s="190"/>
      <c r="K12" s="13">
        <f>'5. Approved Cash Flow - 173'!L13</f>
        <v>0</v>
      </c>
      <c r="L12" s="186">
        <f t="shared" si="0"/>
        <v>0</v>
      </c>
      <c r="M12" s="190">
        <f t="shared" si="0"/>
        <v>0</v>
      </c>
      <c r="N12" s="155">
        <f t="shared" si="1"/>
        <v>0</v>
      </c>
      <c r="O12" s="418"/>
    </row>
    <row r="13" spans="1:19" ht="12.75" customHeight="1" x14ac:dyDescent="0.2">
      <c r="A13" s="249">
        <v>3</v>
      </c>
      <c r="B13" s="845" t="s">
        <v>29</v>
      </c>
      <c r="C13" s="791"/>
      <c r="D13" s="20">
        <v>5140</v>
      </c>
      <c r="E13" s="13"/>
      <c r="F13" s="190"/>
      <c r="G13" s="13"/>
      <c r="H13" s="190"/>
      <c r="I13" s="439">
        <v>0</v>
      </c>
      <c r="J13" s="437">
        <f>IF($R$10=TRUE,I13,0)</f>
        <v>0</v>
      </c>
      <c r="K13" s="13">
        <f>'5. Approved Cash Flow - 173'!L14</f>
        <v>0</v>
      </c>
      <c r="L13" s="186">
        <f t="shared" si="0"/>
        <v>0</v>
      </c>
      <c r="M13" s="190">
        <f t="shared" si="0"/>
        <v>0</v>
      </c>
      <c r="N13" s="155">
        <f t="shared" si="1"/>
        <v>0</v>
      </c>
      <c r="O13" s="418"/>
    </row>
    <row r="14" spans="1:19" ht="12.75" customHeight="1" x14ac:dyDescent="0.2">
      <c r="A14" s="249">
        <v>4</v>
      </c>
      <c r="B14" s="654" t="s">
        <v>30</v>
      </c>
      <c r="C14" s="645"/>
      <c r="D14" s="20">
        <v>5170</v>
      </c>
      <c r="E14" s="439">
        <v>0</v>
      </c>
      <c r="F14" s="437">
        <f>IF($P$10=TRUE,E14,0)</f>
        <v>0</v>
      </c>
      <c r="G14" s="439">
        <v>0</v>
      </c>
      <c r="H14" s="437">
        <f>IF($Q$10=TRUE,G14,0)</f>
        <v>0</v>
      </c>
      <c r="I14" s="439">
        <v>0</v>
      </c>
      <c r="J14" s="437">
        <f>IF($R$10=TRUE,I14,0)</f>
        <v>0</v>
      </c>
      <c r="K14" s="13">
        <f>'5. Approved Cash Flow - 173'!L15</f>
        <v>0</v>
      </c>
      <c r="L14" s="186">
        <f t="shared" si="0"/>
        <v>0</v>
      </c>
      <c r="M14" s="190">
        <f t="shared" si="0"/>
        <v>0</v>
      </c>
      <c r="N14" s="155">
        <f t="shared" si="1"/>
        <v>0</v>
      </c>
      <c r="O14" s="418"/>
    </row>
    <row r="15" spans="1:19" ht="12.75" customHeight="1" x14ac:dyDescent="0.2">
      <c r="A15" s="249">
        <v>5</v>
      </c>
      <c r="B15" s="654" t="s">
        <v>31</v>
      </c>
      <c r="C15" s="645"/>
      <c r="D15" s="20">
        <v>5180</v>
      </c>
      <c r="E15" s="439">
        <v>0</v>
      </c>
      <c r="F15" s="437">
        <f>IF($P$10=TRUE,E15,0)</f>
        <v>0</v>
      </c>
      <c r="G15" s="439">
        <v>0</v>
      </c>
      <c r="H15" s="437">
        <f>IF($Q$10=TRUE,G15,0)</f>
        <v>0</v>
      </c>
      <c r="I15" s="439">
        <v>0</v>
      </c>
      <c r="J15" s="437">
        <f>IF($R$10=TRUE,I15,0)</f>
        <v>0</v>
      </c>
      <c r="K15" s="13">
        <f>'5. Approved Cash Flow - 173'!L16</f>
        <v>0</v>
      </c>
      <c r="L15" s="186">
        <f t="shared" si="0"/>
        <v>0</v>
      </c>
      <c r="M15" s="190">
        <f t="shared" si="0"/>
        <v>0</v>
      </c>
      <c r="N15" s="155">
        <f t="shared" si="1"/>
        <v>0</v>
      </c>
      <c r="O15" s="418"/>
    </row>
    <row r="16" spans="1:19" ht="12.75" customHeight="1" x14ac:dyDescent="0.2">
      <c r="A16" s="249">
        <v>6</v>
      </c>
      <c r="B16" s="644" t="s">
        <v>201</v>
      </c>
      <c r="C16" s="645"/>
      <c r="D16" s="20">
        <v>5190</v>
      </c>
      <c r="E16" s="13">
        <f>(L16-I16)*IF(' 2. Checklist and Cert - 170'!$L$5=0,' 2. Checklist and Cert - 170'!$L$4,' 2. Checklist and Cert - 170'!$L$5)</f>
        <v>0</v>
      </c>
      <c r="F16" s="308">
        <f>(M16-J16)*IF(' 2. Checklist and Cert - 170'!$L$5=0,' 2. Checklist and Cert - 170'!$L$4,' 2. Checklist and Cert - 170'!$L$5)</f>
        <v>0</v>
      </c>
      <c r="G16" s="13">
        <f>L16-E16-I16</f>
        <v>0</v>
      </c>
      <c r="H16" s="304">
        <f>M16-F16-J16</f>
        <v>0</v>
      </c>
      <c r="I16" s="439">
        <v>0</v>
      </c>
      <c r="J16" s="437">
        <f>IF($R$10=TRUE,I16,0)</f>
        <v>0</v>
      </c>
      <c r="K16" s="13">
        <f>'5. Approved Cash Flow - 173'!L17</f>
        <v>0</v>
      </c>
      <c r="L16" s="186">
        <f>G77</f>
        <v>0</v>
      </c>
      <c r="M16" s="190">
        <f>I77</f>
        <v>0</v>
      </c>
      <c r="N16" s="155">
        <f t="shared" si="1"/>
        <v>0</v>
      </c>
      <c r="O16" s="418"/>
    </row>
    <row r="17" spans="1:15" ht="12.75" customHeight="1" x14ac:dyDescent="0.2">
      <c r="A17" s="250">
        <v>7</v>
      </c>
      <c r="B17" s="668" t="s">
        <v>62</v>
      </c>
      <c r="C17" s="669"/>
      <c r="D17" s="53" t="s">
        <v>61</v>
      </c>
      <c r="E17" s="7">
        <f t="shared" ref="E17:N17" si="2">SUM(E11:E16)</f>
        <v>100000</v>
      </c>
      <c r="F17" s="191">
        <f t="shared" si="2"/>
        <v>0</v>
      </c>
      <c r="G17" s="7">
        <f t="shared" si="2"/>
        <v>0</v>
      </c>
      <c r="H17" s="191">
        <f t="shared" si="2"/>
        <v>0</v>
      </c>
      <c r="I17" s="7">
        <f t="shared" si="2"/>
        <v>0</v>
      </c>
      <c r="J17" s="191">
        <f t="shared" si="2"/>
        <v>0</v>
      </c>
      <c r="K17" s="7">
        <f t="shared" si="2"/>
        <v>0</v>
      </c>
      <c r="L17" s="181">
        <f t="shared" si="2"/>
        <v>100000</v>
      </c>
      <c r="M17" s="191">
        <f t="shared" si="2"/>
        <v>0</v>
      </c>
      <c r="N17" s="156">
        <f t="shared" si="2"/>
        <v>0</v>
      </c>
      <c r="O17" s="418"/>
    </row>
    <row r="18" spans="1:15" ht="11.25" customHeight="1" x14ac:dyDescent="0.2">
      <c r="A18" s="249"/>
      <c r="B18" s="655" t="s">
        <v>64</v>
      </c>
      <c r="C18" s="653"/>
      <c r="D18" s="20"/>
      <c r="E18" s="13"/>
      <c r="F18" s="190"/>
      <c r="G18" s="13"/>
      <c r="H18" s="190"/>
      <c r="I18" s="13"/>
      <c r="J18" s="190"/>
      <c r="K18" s="13"/>
      <c r="L18" s="186"/>
      <c r="M18" s="190"/>
      <c r="N18" s="155"/>
      <c r="O18" s="411"/>
    </row>
    <row r="19" spans="1:15" ht="12.75" customHeight="1" x14ac:dyDescent="0.2">
      <c r="A19" s="249">
        <v>8</v>
      </c>
      <c r="B19" s="792" t="s">
        <v>106</v>
      </c>
      <c r="C19" s="793"/>
      <c r="D19" s="20"/>
      <c r="E19" s="94">
        <f t="shared" ref="E19:J19" si="3">IF(E11=0,0,E20/(E11+E12))</f>
        <v>0.1</v>
      </c>
      <c r="F19" s="151">
        <f t="shared" si="3"/>
        <v>0</v>
      </c>
      <c r="G19" s="94">
        <f t="shared" si="3"/>
        <v>0</v>
      </c>
      <c r="H19" s="151">
        <f t="shared" si="3"/>
        <v>0</v>
      </c>
      <c r="I19" s="94">
        <f t="shared" si="3"/>
        <v>0</v>
      </c>
      <c r="J19" s="151">
        <f t="shared" si="3"/>
        <v>0</v>
      </c>
      <c r="K19" s="94">
        <f>'5. Approved Cash Flow - 173'!L20</f>
        <v>0</v>
      </c>
      <c r="L19" s="207">
        <f>IF(L11=0,0,L20/(L11+L12))</f>
        <v>0.1</v>
      </c>
      <c r="M19" s="151">
        <f>IF(M11=0,0,M20/(M11+M12))</f>
        <v>0</v>
      </c>
      <c r="N19" s="155"/>
      <c r="O19" s="418"/>
    </row>
    <row r="20" spans="1:15" ht="12.75" customHeight="1" x14ac:dyDescent="0.2">
      <c r="A20" s="249">
        <v>9</v>
      </c>
      <c r="B20" s="654" t="s">
        <v>33</v>
      </c>
      <c r="C20" s="645"/>
      <c r="D20" s="20">
        <v>5220</v>
      </c>
      <c r="E20" s="439">
        <v>10000</v>
      </c>
      <c r="F20" s="437">
        <f>IF($P$10=TRUE,E20,0)</f>
        <v>0</v>
      </c>
      <c r="G20" s="439">
        <v>0</v>
      </c>
      <c r="H20" s="437">
        <f>IF($Q$10=TRUE,G20,0)</f>
        <v>0</v>
      </c>
      <c r="I20" s="13"/>
      <c r="J20" s="190"/>
      <c r="K20" s="13">
        <f>'5. Approved Cash Flow - 173'!L21</f>
        <v>0</v>
      </c>
      <c r="L20" s="186">
        <f t="shared" ref="L20:M24" si="4">E20+G20+I20</f>
        <v>10000</v>
      </c>
      <c r="M20" s="190">
        <f t="shared" si="4"/>
        <v>0</v>
      </c>
      <c r="N20" s="155">
        <f>K20-M20</f>
        <v>0</v>
      </c>
      <c r="O20" s="418"/>
    </row>
    <row r="21" spans="1:15" ht="12.75" customHeight="1" x14ac:dyDescent="0.2">
      <c r="A21" s="249">
        <v>10</v>
      </c>
      <c r="B21" s="654" t="s">
        <v>34</v>
      </c>
      <c r="C21" s="645"/>
      <c r="D21" s="20">
        <v>5240</v>
      </c>
      <c r="E21" s="13"/>
      <c r="F21" s="190"/>
      <c r="G21" s="13"/>
      <c r="H21" s="190"/>
      <c r="I21" s="439">
        <v>0</v>
      </c>
      <c r="J21" s="437">
        <f>IF($R$10=TRUE,I21,0)</f>
        <v>0</v>
      </c>
      <c r="K21" s="13">
        <f>'5. Approved Cash Flow - 173'!L22</f>
        <v>0</v>
      </c>
      <c r="L21" s="186">
        <f t="shared" si="4"/>
        <v>0</v>
      </c>
      <c r="M21" s="190">
        <f t="shared" si="4"/>
        <v>0</v>
      </c>
      <c r="N21" s="155">
        <f>K21-M21</f>
        <v>0</v>
      </c>
      <c r="O21" s="418"/>
    </row>
    <row r="22" spans="1:15" ht="12.75" customHeight="1" x14ac:dyDescent="0.2">
      <c r="A22" s="249">
        <v>11</v>
      </c>
      <c r="B22" s="654" t="s">
        <v>35</v>
      </c>
      <c r="C22" s="645"/>
      <c r="D22" s="20">
        <v>5250</v>
      </c>
      <c r="E22" s="439">
        <v>0</v>
      </c>
      <c r="F22" s="437">
        <f>IF($P$10=TRUE,E22,0)</f>
        <v>0</v>
      </c>
      <c r="G22" s="439">
        <v>0</v>
      </c>
      <c r="H22" s="437">
        <f>IF($Q$10=TRUE,G22,0)</f>
        <v>0</v>
      </c>
      <c r="I22" s="439">
        <v>0</v>
      </c>
      <c r="J22" s="437">
        <f>IF($R$10=TRUE,I22,0)</f>
        <v>0</v>
      </c>
      <c r="K22" s="13">
        <f>'5. Approved Cash Flow - 173'!L23</f>
        <v>0</v>
      </c>
      <c r="L22" s="186">
        <f t="shared" si="4"/>
        <v>0</v>
      </c>
      <c r="M22" s="190">
        <f t="shared" si="4"/>
        <v>0</v>
      </c>
      <c r="N22" s="155">
        <f>K22-M22</f>
        <v>0</v>
      </c>
      <c r="O22" s="418"/>
    </row>
    <row r="23" spans="1:15" ht="12.75" customHeight="1" x14ac:dyDescent="0.2">
      <c r="A23" s="249">
        <v>12</v>
      </c>
      <c r="B23" s="654" t="s">
        <v>30</v>
      </c>
      <c r="C23" s="645"/>
      <c r="D23" s="20">
        <v>5270</v>
      </c>
      <c r="E23" s="439">
        <v>0</v>
      </c>
      <c r="F23" s="437">
        <f>IF($P$10=TRUE,E23,0)</f>
        <v>0</v>
      </c>
      <c r="G23" s="439">
        <v>0</v>
      </c>
      <c r="H23" s="437">
        <f>IF($Q$10=TRUE,G23,0)</f>
        <v>0</v>
      </c>
      <c r="I23" s="439">
        <v>0</v>
      </c>
      <c r="J23" s="437">
        <f>IF($R$10=TRUE,I23,0)</f>
        <v>0</v>
      </c>
      <c r="K23" s="13">
        <f>'5. Approved Cash Flow - 173'!L24</f>
        <v>0</v>
      </c>
      <c r="L23" s="186">
        <f t="shared" si="4"/>
        <v>0</v>
      </c>
      <c r="M23" s="190">
        <f t="shared" si="4"/>
        <v>0</v>
      </c>
      <c r="N23" s="155">
        <f>K23-M23</f>
        <v>0</v>
      </c>
      <c r="O23" s="418"/>
    </row>
    <row r="24" spans="1:15" ht="12.75" customHeight="1" x14ac:dyDescent="0.2">
      <c r="A24" s="249">
        <v>13</v>
      </c>
      <c r="B24" s="856" t="s">
        <v>88</v>
      </c>
      <c r="C24" s="799"/>
      <c r="D24" s="20">
        <v>5290</v>
      </c>
      <c r="E24" s="439">
        <v>0</v>
      </c>
      <c r="F24" s="437">
        <f>IF($P$10=TRUE,E24,0)</f>
        <v>0</v>
      </c>
      <c r="G24" s="439">
        <v>0</v>
      </c>
      <c r="H24" s="437">
        <f>IF($Q$10=TRUE,G24,0)</f>
        <v>0</v>
      </c>
      <c r="I24" s="439">
        <v>0</v>
      </c>
      <c r="J24" s="437">
        <f>IF($R$10=TRUE,I24,0)</f>
        <v>0</v>
      </c>
      <c r="K24" s="13">
        <f>'5. Approved Cash Flow - 173'!L25</f>
        <v>0</v>
      </c>
      <c r="L24" s="186">
        <f t="shared" si="4"/>
        <v>0</v>
      </c>
      <c r="M24" s="190">
        <f t="shared" si="4"/>
        <v>0</v>
      </c>
      <c r="N24" s="155">
        <f>K24-M24</f>
        <v>0</v>
      </c>
      <c r="O24" s="418"/>
    </row>
    <row r="25" spans="1:15" ht="12.75" customHeight="1" x14ac:dyDescent="0.2">
      <c r="A25" s="250">
        <v>14</v>
      </c>
      <c r="B25" s="668" t="s">
        <v>65</v>
      </c>
      <c r="C25" s="669"/>
      <c r="D25" s="53" t="s">
        <v>66</v>
      </c>
      <c r="E25" s="7">
        <f t="shared" ref="E25:J25" si="5">SUM(E20:E24)</f>
        <v>10000</v>
      </c>
      <c r="F25" s="191">
        <f t="shared" si="5"/>
        <v>0</v>
      </c>
      <c r="G25" s="7">
        <f t="shared" si="5"/>
        <v>0</v>
      </c>
      <c r="H25" s="191">
        <f t="shared" si="5"/>
        <v>0</v>
      </c>
      <c r="I25" s="7">
        <f t="shared" si="5"/>
        <v>0</v>
      </c>
      <c r="J25" s="191">
        <f t="shared" si="5"/>
        <v>0</v>
      </c>
      <c r="K25" s="7">
        <f>SUM(K20:K24)</f>
        <v>0</v>
      </c>
      <c r="L25" s="181">
        <f>SUM(L20:L24)</f>
        <v>10000</v>
      </c>
      <c r="M25" s="191">
        <f>SUM(M20:M24)</f>
        <v>0</v>
      </c>
      <c r="N25" s="156">
        <f>SUM(N20:N24)</f>
        <v>0</v>
      </c>
      <c r="O25" s="418"/>
    </row>
    <row r="26" spans="1:15" ht="12.75" customHeight="1" x14ac:dyDescent="0.2">
      <c r="A26" s="264">
        <v>15</v>
      </c>
      <c r="B26" s="666" t="s">
        <v>71</v>
      </c>
      <c r="C26" s="667"/>
      <c r="D26" s="54" t="s">
        <v>72</v>
      </c>
      <c r="E26" s="11">
        <f t="shared" ref="E26:J26" si="6">E17-E25</f>
        <v>90000</v>
      </c>
      <c r="F26" s="57">
        <f t="shared" si="6"/>
        <v>0</v>
      </c>
      <c r="G26" s="11">
        <f t="shared" si="6"/>
        <v>0</v>
      </c>
      <c r="H26" s="57">
        <f t="shared" si="6"/>
        <v>0</v>
      </c>
      <c r="I26" s="11">
        <f t="shared" si="6"/>
        <v>0</v>
      </c>
      <c r="J26" s="57">
        <f t="shared" si="6"/>
        <v>0</v>
      </c>
      <c r="K26" s="11">
        <f>K17-K25</f>
        <v>0</v>
      </c>
      <c r="L26" s="189">
        <f>L17-L25</f>
        <v>90000</v>
      </c>
      <c r="M26" s="57">
        <f>M17-M25</f>
        <v>0</v>
      </c>
      <c r="N26" s="157">
        <f>N17-N25</f>
        <v>0</v>
      </c>
      <c r="O26" s="418"/>
    </row>
    <row r="27" spans="1:15" ht="12.75" customHeight="1" x14ac:dyDescent="0.2">
      <c r="A27" s="250">
        <v>16</v>
      </c>
      <c r="B27" s="796" t="s">
        <v>261</v>
      </c>
      <c r="C27" s="797"/>
      <c r="D27" s="53">
        <v>5390</v>
      </c>
      <c r="E27" s="244">
        <f>(L27-I27)*IF(' 2. Checklist and Cert - 170'!$L$5=0,' 2. Checklist and Cert - 170'!$L$4,' 2. Checklist and Cert - 170'!$L$5)</f>
        <v>0</v>
      </c>
      <c r="F27" s="245">
        <f>(M27-J27)*IF(' 2. Checklist and Cert - 170'!$L$5=0,' 2. Checklist and Cert - 170'!$L$4,' 2. Checklist and Cert - 170'!$L$5)</f>
        <v>0</v>
      </c>
      <c r="G27" s="244">
        <f>L27-E27-I27</f>
        <v>0</v>
      </c>
      <c r="H27" s="245">
        <f>M27-F27-J27</f>
        <v>0</v>
      </c>
      <c r="I27" s="203">
        <v>0</v>
      </c>
      <c r="J27" s="443">
        <f>IF($R$10=TRUE,I27,0)</f>
        <v>0</v>
      </c>
      <c r="K27" s="7">
        <f>'5. Approved Cash Flow - 173'!L28</f>
        <v>0</v>
      </c>
      <c r="L27" s="181">
        <f>G84</f>
        <v>0</v>
      </c>
      <c r="M27" s="310">
        <f>I84</f>
        <v>0</v>
      </c>
      <c r="N27" s="156">
        <f>K27-M27</f>
        <v>0</v>
      </c>
      <c r="O27" s="418"/>
    </row>
    <row r="28" spans="1:15" ht="11.25" customHeight="1" x14ac:dyDescent="0.2">
      <c r="A28" s="249"/>
      <c r="B28" s="655" t="s">
        <v>67</v>
      </c>
      <c r="C28" s="653"/>
      <c r="D28" s="20"/>
      <c r="E28" s="13"/>
      <c r="F28" s="190"/>
      <c r="G28" s="13"/>
      <c r="H28" s="190"/>
      <c r="I28" s="13"/>
      <c r="J28" s="190"/>
      <c r="K28" s="13"/>
      <c r="L28" s="186"/>
      <c r="M28" s="190"/>
      <c r="N28" s="179"/>
      <c r="O28" s="421"/>
    </row>
    <row r="29" spans="1:15" ht="12.75" customHeight="1" x14ac:dyDescent="0.2">
      <c r="A29" s="249">
        <v>17</v>
      </c>
      <c r="B29" s="644" t="s">
        <v>115</v>
      </c>
      <c r="C29" s="645"/>
      <c r="D29" s="20">
        <v>5410</v>
      </c>
      <c r="E29" s="13">
        <f>(L29-I29)*IF(' 2. Checklist and Cert - 170'!$L$5=0,' 2. Checklist and Cert - 170'!$L$4,' 2. Checklist and Cert - 170'!$L$5)</f>
        <v>0</v>
      </c>
      <c r="F29" s="190">
        <f>(M29-J29)*IF(' 2. Checklist and Cert - 170'!$L$5=0,' 2. Checklist and Cert - 170'!$L$4,' 2. Checklist and Cert - 170'!$L$5)</f>
        <v>0</v>
      </c>
      <c r="G29" s="13">
        <f>L29-E29-I29</f>
        <v>0</v>
      </c>
      <c r="H29" s="190">
        <f>M29-F29-J29</f>
        <v>0</v>
      </c>
      <c r="I29" s="439">
        <v>0</v>
      </c>
      <c r="J29" s="437">
        <f>IF($R$10=TRUE,I29,0)</f>
        <v>0</v>
      </c>
      <c r="K29" s="13">
        <f>'5. Approved Cash Flow - 173'!L30</f>
        <v>0</v>
      </c>
      <c r="L29" s="440">
        <v>0</v>
      </c>
      <c r="M29" s="437">
        <f>IF($S$10=TRUE,L29,0)</f>
        <v>0</v>
      </c>
      <c r="N29" s="155">
        <f>K29-M29</f>
        <v>0</v>
      </c>
      <c r="O29" s="418"/>
    </row>
    <row r="30" spans="1:15" ht="12.75" customHeight="1" x14ac:dyDescent="0.2">
      <c r="A30" s="249">
        <v>18</v>
      </c>
      <c r="B30" s="644" t="s">
        <v>208</v>
      </c>
      <c r="C30" s="645"/>
      <c r="D30" s="20">
        <v>5490</v>
      </c>
      <c r="E30" s="13">
        <f>(L30-I30)*IF(' 2. Checklist and Cert - 170'!$L$5=0,' 2. Checklist and Cert - 170'!$L$4,' 2. Checklist and Cert - 170'!$L$5)</f>
        <v>0</v>
      </c>
      <c r="F30" s="190">
        <f>(M30-J30)*IF(' 2. Checklist and Cert - 170'!$L$5=0,' 2. Checklist and Cert - 170'!$L$4,' 2. Checklist and Cert - 170'!$L$5)</f>
        <v>0</v>
      </c>
      <c r="G30" s="13">
        <f>L30-E30-I30</f>
        <v>0</v>
      </c>
      <c r="H30" s="190">
        <f>M30-F30-J30</f>
        <v>0</v>
      </c>
      <c r="I30" s="439">
        <v>0</v>
      </c>
      <c r="J30" s="437">
        <f>IF($R$10=TRUE,I30,0)</f>
        <v>0</v>
      </c>
      <c r="K30" s="13">
        <f>'5. Approved Cash Flow - 173'!L31</f>
        <v>0</v>
      </c>
      <c r="L30" s="309">
        <f>G91</f>
        <v>0</v>
      </c>
      <c r="M30" s="190">
        <f>I91</f>
        <v>0</v>
      </c>
      <c r="N30" s="155">
        <f>K30-M30</f>
        <v>0</v>
      </c>
      <c r="O30" s="418"/>
    </row>
    <row r="31" spans="1:15" ht="12.75" customHeight="1" x14ac:dyDescent="0.2">
      <c r="A31" s="250">
        <v>19</v>
      </c>
      <c r="B31" s="672" t="s">
        <v>210</v>
      </c>
      <c r="C31" s="673"/>
      <c r="D31" s="53" t="s">
        <v>209</v>
      </c>
      <c r="E31" s="7">
        <f t="shared" ref="E31:N31" si="7">SUM(E29:E30)</f>
        <v>0</v>
      </c>
      <c r="F31" s="191">
        <f t="shared" si="7"/>
        <v>0</v>
      </c>
      <c r="G31" s="7">
        <f t="shared" si="7"/>
        <v>0</v>
      </c>
      <c r="H31" s="191">
        <f t="shared" si="7"/>
        <v>0</v>
      </c>
      <c r="I31" s="7">
        <f t="shared" si="7"/>
        <v>0</v>
      </c>
      <c r="J31" s="191">
        <f t="shared" si="7"/>
        <v>0</v>
      </c>
      <c r="K31" s="7">
        <f t="shared" si="7"/>
        <v>0</v>
      </c>
      <c r="L31" s="181">
        <f t="shared" si="7"/>
        <v>0</v>
      </c>
      <c r="M31" s="191">
        <f t="shared" si="7"/>
        <v>0</v>
      </c>
      <c r="N31" s="156">
        <f t="shared" si="7"/>
        <v>0</v>
      </c>
      <c r="O31" s="418"/>
    </row>
    <row r="32" spans="1:15" ht="11.25" customHeight="1" x14ac:dyDescent="0.2">
      <c r="A32" s="249"/>
      <c r="B32" s="655" t="s">
        <v>68</v>
      </c>
      <c r="C32" s="653"/>
      <c r="D32" s="20"/>
      <c r="E32" s="13"/>
      <c r="F32" s="190"/>
      <c r="G32" s="13"/>
      <c r="H32" s="190"/>
      <c r="I32" s="13"/>
      <c r="J32" s="190"/>
      <c r="K32" s="13"/>
      <c r="L32" s="186"/>
      <c r="M32" s="190"/>
      <c r="N32" s="179"/>
      <c r="O32" s="411"/>
    </row>
    <row r="33" spans="1:15" ht="12.75" customHeight="1" x14ac:dyDescent="0.2">
      <c r="A33" s="249">
        <v>20</v>
      </c>
      <c r="B33" s="654" t="s">
        <v>36</v>
      </c>
      <c r="C33" s="645"/>
      <c r="D33" s="20">
        <v>5910</v>
      </c>
      <c r="E33" s="13">
        <f>(L33-I33)*IF(' 2. Checklist and Cert - 170'!$L$5=0,' 2. Checklist and Cert - 170'!$L$4,' 2. Checklist and Cert - 170'!$L$5)</f>
        <v>0</v>
      </c>
      <c r="F33" s="190">
        <f>(M33-J33)*IF(' 2. Checklist and Cert - 170'!$L$5=0,' 2. Checklist and Cert - 170'!$L$4,' 2. Checklist and Cert - 170'!$L$5)</f>
        <v>0</v>
      </c>
      <c r="G33" s="13">
        <f t="shared" ref="G33:H35" si="8">L33-E33-I33</f>
        <v>0</v>
      </c>
      <c r="H33" s="190">
        <f t="shared" si="8"/>
        <v>0</v>
      </c>
      <c r="I33" s="439">
        <v>0</v>
      </c>
      <c r="J33" s="437">
        <f>IF($R$10=TRUE,I33,0)</f>
        <v>0</v>
      </c>
      <c r="K33" s="13">
        <f>'5. Approved Cash Flow - 173'!L34</f>
        <v>0</v>
      </c>
      <c r="L33" s="440">
        <v>0</v>
      </c>
      <c r="M33" s="437">
        <f>IF($S$10=TRUE,L33,0)</f>
        <v>0</v>
      </c>
      <c r="N33" s="155">
        <f>K33-M33</f>
        <v>0</v>
      </c>
      <c r="O33" s="418"/>
    </row>
    <row r="34" spans="1:15" ht="12.75" customHeight="1" x14ac:dyDescent="0.2">
      <c r="A34" s="249">
        <v>21</v>
      </c>
      <c r="B34" s="644" t="s">
        <v>202</v>
      </c>
      <c r="C34" s="645"/>
      <c r="D34" s="20">
        <v>5920</v>
      </c>
      <c r="E34" s="13">
        <f>(L34-I34)*IF(' 2. Checklist and Cert - 170'!$L$5=0,' 2. Checklist and Cert - 170'!$L$4,' 2. Checklist and Cert - 170'!$L$5)</f>
        <v>0</v>
      </c>
      <c r="F34" s="190">
        <f>(M34-J34)*IF(' 2. Checklist and Cert - 170'!$L$5=0,' 2. Checklist and Cert - 170'!$L$4,' 2. Checklist and Cert - 170'!$L$5)</f>
        <v>0</v>
      </c>
      <c r="G34" s="13">
        <f t="shared" si="8"/>
        <v>0</v>
      </c>
      <c r="H34" s="190">
        <f t="shared" si="8"/>
        <v>0</v>
      </c>
      <c r="I34" s="439">
        <v>0</v>
      </c>
      <c r="J34" s="437">
        <f>IF($R$10=TRUE,I34,0)</f>
        <v>0</v>
      </c>
      <c r="K34" s="13">
        <f>'5. Approved Cash Flow - 173'!L35</f>
        <v>0</v>
      </c>
      <c r="L34" s="440">
        <v>0</v>
      </c>
      <c r="M34" s="437">
        <f>IF($S$10=TRUE,L34,0)</f>
        <v>0</v>
      </c>
      <c r="N34" s="155">
        <f>K34-M34</f>
        <v>0</v>
      </c>
      <c r="O34" s="418"/>
    </row>
    <row r="35" spans="1:15" ht="12.75" customHeight="1" x14ac:dyDescent="0.2">
      <c r="A35" s="249">
        <v>22</v>
      </c>
      <c r="B35" s="654" t="s">
        <v>113</v>
      </c>
      <c r="C35" s="645"/>
      <c r="D35" s="20">
        <v>5990</v>
      </c>
      <c r="E35" s="13">
        <f>(L35-I35)*IF(' 2. Checklist and Cert - 170'!$L$5=0,' 2. Checklist and Cert - 170'!$L$4,' 2. Checklist and Cert - 170'!$L$5)</f>
        <v>0</v>
      </c>
      <c r="F35" s="190">
        <f>(M35-J35)*IF(' 2. Checklist and Cert - 170'!$L$5=0,' 2. Checklist and Cert - 170'!$L$4,' 2. Checklist and Cert - 170'!$L$5)</f>
        <v>0</v>
      </c>
      <c r="G35" s="13">
        <f t="shared" si="8"/>
        <v>0</v>
      </c>
      <c r="H35" s="190">
        <f t="shared" si="8"/>
        <v>0</v>
      </c>
      <c r="I35" s="439">
        <v>0</v>
      </c>
      <c r="J35" s="437">
        <f>IF($R$10=TRUE,I35,0)</f>
        <v>0</v>
      </c>
      <c r="K35" s="13">
        <f>'5. Approved Cash Flow - 173'!L36</f>
        <v>0</v>
      </c>
      <c r="L35" s="186">
        <f>G100</f>
        <v>0</v>
      </c>
      <c r="M35" s="190">
        <f>I100</f>
        <v>0</v>
      </c>
      <c r="N35" s="155">
        <f>K35-M35</f>
        <v>0</v>
      </c>
      <c r="O35" s="418"/>
    </row>
    <row r="36" spans="1:15" ht="12.75" customHeight="1" x14ac:dyDescent="0.2">
      <c r="A36" s="250">
        <v>23</v>
      </c>
      <c r="B36" s="668" t="s">
        <v>69</v>
      </c>
      <c r="C36" s="669"/>
      <c r="D36" s="53" t="s">
        <v>70</v>
      </c>
      <c r="E36" s="7">
        <f t="shared" ref="E36:K36" si="9">SUM(E33:E35)</f>
        <v>0</v>
      </c>
      <c r="F36" s="191">
        <f t="shared" si="9"/>
        <v>0</v>
      </c>
      <c r="G36" s="7">
        <f t="shared" si="9"/>
        <v>0</v>
      </c>
      <c r="H36" s="191">
        <f t="shared" si="9"/>
        <v>0</v>
      </c>
      <c r="I36" s="7">
        <f t="shared" si="9"/>
        <v>0</v>
      </c>
      <c r="J36" s="191">
        <f t="shared" si="9"/>
        <v>0</v>
      </c>
      <c r="K36" s="7">
        <f t="shared" si="9"/>
        <v>0</v>
      </c>
      <c r="L36" s="181">
        <f>SUM(L33:L35)</f>
        <v>0</v>
      </c>
      <c r="M36" s="191">
        <f>SUM(M33:M35)</f>
        <v>0</v>
      </c>
      <c r="N36" s="156">
        <f>SUM(N33:N35)</f>
        <v>0</v>
      </c>
      <c r="O36" s="418"/>
    </row>
    <row r="37" spans="1:15" s="126" customFormat="1" ht="12.75" customHeight="1" x14ac:dyDescent="0.2">
      <c r="A37" s="265">
        <v>24</v>
      </c>
      <c r="B37" s="666" t="s">
        <v>73</v>
      </c>
      <c r="C37" s="667"/>
      <c r="D37" s="54" t="s">
        <v>74</v>
      </c>
      <c r="E37" s="8">
        <f t="shared" ref="E37:N37" si="10">+E26+E27+E31+E36</f>
        <v>90000</v>
      </c>
      <c r="F37" s="200">
        <f t="shared" si="10"/>
        <v>0</v>
      </c>
      <c r="G37" s="8">
        <f t="shared" si="10"/>
        <v>0</v>
      </c>
      <c r="H37" s="200">
        <f t="shared" si="10"/>
        <v>0</v>
      </c>
      <c r="I37" s="8">
        <f t="shared" si="10"/>
        <v>0</v>
      </c>
      <c r="J37" s="200">
        <f t="shared" si="10"/>
        <v>0</v>
      </c>
      <c r="K37" s="8">
        <f t="shared" si="10"/>
        <v>0</v>
      </c>
      <c r="L37" s="208">
        <f t="shared" si="10"/>
        <v>90000</v>
      </c>
      <c r="M37" s="201">
        <f t="shared" si="10"/>
        <v>0</v>
      </c>
      <c r="N37" s="160">
        <f t="shared" si="10"/>
        <v>0</v>
      </c>
      <c r="O37" s="418"/>
    </row>
    <row r="38" spans="1:15" s="126" customFormat="1" ht="12.75" customHeight="1" x14ac:dyDescent="0.2">
      <c r="A38" s="265">
        <v>25</v>
      </c>
      <c r="B38" s="666" t="s">
        <v>213</v>
      </c>
      <c r="C38" s="667"/>
      <c r="D38" s="54" t="s">
        <v>24</v>
      </c>
      <c r="E38" s="8">
        <f>'9. Actual Cost of Ops-181'!E64</f>
        <v>0</v>
      </c>
      <c r="F38" s="200">
        <f>'9. Actual Cost of Ops-181'!F64</f>
        <v>0</v>
      </c>
      <c r="G38" s="8">
        <f>'9. Actual Cost of Ops-181'!G64</f>
        <v>0</v>
      </c>
      <c r="H38" s="200">
        <f>'9. Actual Cost of Ops-181'!H64</f>
        <v>0</v>
      </c>
      <c r="I38" s="8">
        <f>'9. Actual Cost of Ops-181'!I64</f>
        <v>0</v>
      </c>
      <c r="J38" s="200">
        <f>'9. Actual Cost of Ops-181'!J64</f>
        <v>0</v>
      </c>
      <c r="K38" s="10">
        <f>'9. Actual Cost of Ops-181'!K64</f>
        <v>0</v>
      </c>
      <c r="L38" s="209">
        <f>E38+G38+I38</f>
        <v>0</v>
      </c>
      <c r="M38" s="204">
        <f>F38+H38+J38</f>
        <v>0</v>
      </c>
      <c r="N38" s="157">
        <f>K38-M38</f>
        <v>0</v>
      </c>
      <c r="O38" s="418"/>
    </row>
    <row r="39" spans="1:15" s="126" customFormat="1" ht="12.75" customHeight="1" x14ac:dyDescent="0.2">
      <c r="A39" s="265">
        <v>26</v>
      </c>
      <c r="B39" s="666" t="s">
        <v>75</v>
      </c>
      <c r="C39" s="667"/>
      <c r="D39" s="55" t="s">
        <v>76</v>
      </c>
      <c r="E39" s="8">
        <f t="shared" ref="E39:J39" si="11">E37-E38</f>
        <v>90000</v>
      </c>
      <c r="F39" s="200">
        <f t="shared" si="11"/>
        <v>0</v>
      </c>
      <c r="G39" s="8">
        <f t="shared" si="11"/>
        <v>0</v>
      </c>
      <c r="H39" s="200">
        <f t="shared" si="11"/>
        <v>0</v>
      </c>
      <c r="I39" s="8">
        <f t="shared" si="11"/>
        <v>0</v>
      </c>
      <c r="J39" s="200">
        <f t="shared" si="11"/>
        <v>0</v>
      </c>
      <c r="K39" s="8">
        <f>K37-K38</f>
        <v>0</v>
      </c>
      <c r="L39" s="210">
        <f>L37-L38</f>
        <v>90000</v>
      </c>
      <c r="M39" s="200">
        <f>M37-M38</f>
        <v>0</v>
      </c>
      <c r="N39" s="157">
        <f>N37-N38</f>
        <v>0</v>
      </c>
      <c r="O39" s="418"/>
    </row>
    <row r="40" spans="1:15" ht="11.25" customHeight="1" x14ac:dyDescent="0.2">
      <c r="A40" s="251"/>
      <c r="B40" s="655" t="s">
        <v>205</v>
      </c>
      <c r="C40" s="653"/>
      <c r="D40" s="213"/>
      <c r="E40" s="13"/>
      <c r="F40" s="190"/>
      <c r="G40" s="13"/>
      <c r="H40" s="190"/>
      <c r="I40" s="18"/>
      <c r="J40" s="192"/>
      <c r="K40" s="13"/>
      <c r="L40" s="186"/>
      <c r="M40" s="190"/>
      <c r="N40" s="155"/>
      <c r="O40" s="411"/>
    </row>
    <row r="41" spans="1:15" ht="12.75" customHeight="1" x14ac:dyDescent="0.2">
      <c r="A41" s="251">
        <v>27</v>
      </c>
      <c r="B41" s="113" t="s">
        <v>102</v>
      </c>
      <c r="C41" s="441" t="str">
        <f>+IF('5. Approved Cash Flow - 173'!C42=0," ",'5. Approved Cash Flow - 173'!C42)</f>
        <v xml:space="preserve"> </v>
      </c>
      <c r="D41" s="20">
        <v>6820</v>
      </c>
      <c r="E41" s="13">
        <f>(L41-I41)*IF(' 2. Checklist and Cert - 170'!$L$5=0,' 2. Checklist and Cert - 170'!$L$4,' 2. Checklist and Cert - 170'!$L$5)</f>
        <v>0</v>
      </c>
      <c r="F41" s="190">
        <f>(M41-J41)*IF(' 2. Checklist and Cert - 170'!$L$5=0,' 2. Checklist and Cert - 170'!$L$4,' 2. Checklist and Cert - 170'!$L$5)</f>
        <v>0</v>
      </c>
      <c r="G41" s="13">
        <f t="shared" ref="G41:H46" si="12">L41-E41-I41</f>
        <v>0</v>
      </c>
      <c r="H41" s="190">
        <f t="shared" si="12"/>
        <v>0</v>
      </c>
      <c r="I41" s="439">
        <v>0</v>
      </c>
      <c r="J41" s="437">
        <f t="shared" ref="J41:J46" si="13">IF($R$10=TRUE,I41,0)</f>
        <v>0</v>
      </c>
      <c r="K41" s="13">
        <f>'5. Approved Cash Flow - 173'!L42</f>
        <v>0</v>
      </c>
      <c r="L41" s="440">
        <v>0</v>
      </c>
      <c r="M41" s="437">
        <f>IF($S$10=TRUE,L41,0)</f>
        <v>0</v>
      </c>
      <c r="N41" s="155">
        <f t="shared" ref="N41:N46" si="14">K41-M41</f>
        <v>0</v>
      </c>
      <c r="O41" s="418"/>
    </row>
    <row r="42" spans="1:15" ht="12.75" customHeight="1" x14ac:dyDescent="0.2">
      <c r="A42" s="251">
        <v>28</v>
      </c>
      <c r="B42" s="113" t="s">
        <v>103</v>
      </c>
      <c r="C42" s="442" t="str">
        <f>+IF('5. Approved Cash Flow - 173'!C43=0," ",'5. Approved Cash Flow - 173'!C43)</f>
        <v xml:space="preserve"> </v>
      </c>
      <c r="D42" s="20">
        <v>6825</v>
      </c>
      <c r="E42" s="13">
        <f>(L42-I42)*IF(' 2. Checklist and Cert - 170'!$L$5=0,' 2. Checklist and Cert - 170'!$L$4,' 2. Checklist and Cert - 170'!$L$5)</f>
        <v>0</v>
      </c>
      <c r="F42" s="190">
        <f>(M42-J42)*IF(' 2. Checklist and Cert - 170'!$L$5=0,' 2. Checklist and Cert - 170'!$L$4,' 2. Checklist and Cert - 170'!$L$5)</f>
        <v>0</v>
      </c>
      <c r="G42" s="13">
        <f t="shared" si="12"/>
        <v>0</v>
      </c>
      <c r="H42" s="190">
        <f t="shared" si="12"/>
        <v>0</v>
      </c>
      <c r="I42" s="439">
        <v>0</v>
      </c>
      <c r="J42" s="437">
        <f t="shared" si="13"/>
        <v>0</v>
      </c>
      <c r="K42" s="13">
        <f>'5. Approved Cash Flow - 173'!L43</f>
        <v>0</v>
      </c>
      <c r="L42" s="440">
        <v>0</v>
      </c>
      <c r="M42" s="437">
        <f>IF($S$10=TRUE,L42,0)</f>
        <v>0</v>
      </c>
      <c r="N42" s="155">
        <f t="shared" si="14"/>
        <v>0</v>
      </c>
      <c r="O42" s="418"/>
    </row>
    <row r="43" spans="1:15" ht="12.75" customHeight="1" x14ac:dyDescent="0.2">
      <c r="A43" s="251">
        <v>29</v>
      </c>
      <c r="B43" s="113" t="s">
        <v>104</v>
      </c>
      <c r="C43" s="442" t="str">
        <f>+IF('5. Approved Cash Flow - 173'!C44=0," ",'5. Approved Cash Flow - 173'!C44)</f>
        <v xml:space="preserve"> </v>
      </c>
      <c r="D43" s="20">
        <v>6825</v>
      </c>
      <c r="E43" s="13">
        <f>(L43-I43)*IF(' 2. Checklist and Cert - 170'!$L$5=0,' 2. Checklist and Cert - 170'!$L$4,' 2. Checklist and Cert - 170'!$L$5)</f>
        <v>0</v>
      </c>
      <c r="F43" s="190">
        <f>(M43-J43)*IF(' 2. Checklist and Cert - 170'!$L$5=0,' 2. Checklist and Cert - 170'!$L$4,' 2. Checklist and Cert - 170'!$L$5)</f>
        <v>0</v>
      </c>
      <c r="G43" s="13">
        <f t="shared" si="12"/>
        <v>0</v>
      </c>
      <c r="H43" s="190">
        <f t="shared" si="12"/>
        <v>0</v>
      </c>
      <c r="I43" s="439">
        <v>0</v>
      </c>
      <c r="J43" s="437">
        <f t="shared" si="13"/>
        <v>0</v>
      </c>
      <c r="K43" s="13">
        <f>'5. Approved Cash Flow - 173'!L44</f>
        <v>0</v>
      </c>
      <c r="L43" s="440">
        <v>0</v>
      </c>
      <c r="M43" s="437">
        <f>IF($S$10=TRUE,L43,0)</f>
        <v>0</v>
      </c>
      <c r="N43" s="155">
        <f t="shared" si="14"/>
        <v>0</v>
      </c>
      <c r="O43" s="418"/>
    </row>
    <row r="44" spans="1:15" ht="12.75" customHeight="1" x14ac:dyDescent="0.2">
      <c r="A44" s="251">
        <v>30</v>
      </c>
      <c r="B44" s="654" t="s">
        <v>320</v>
      </c>
      <c r="C44" s="645"/>
      <c r="D44" s="20">
        <v>6825</v>
      </c>
      <c r="E44" s="13">
        <f>(L44-I44)*IF(' 2. Checklist and Cert - 170'!$L$5=0,' 2. Checklist and Cert - 170'!$L$4,' 2. Checklist and Cert - 170'!$L$5)</f>
        <v>0</v>
      </c>
      <c r="F44" s="190">
        <f>(M44-J44)*IF(' 2. Checklist and Cert - 170'!$L$5=0,' 2. Checklist and Cert - 170'!$L$4,' 2. Checklist and Cert - 170'!$L$5)</f>
        <v>0</v>
      </c>
      <c r="G44" s="13">
        <f t="shared" si="12"/>
        <v>0</v>
      </c>
      <c r="H44" s="190">
        <f t="shared" si="12"/>
        <v>0</v>
      </c>
      <c r="I44" s="439">
        <v>0</v>
      </c>
      <c r="J44" s="437">
        <f t="shared" si="13"/>
        <v>0</v>
      </c>
      <c r="K44" s="13">
        <f>'5. Approved Cash Flow - 173'!L45</f>
        <v>0</v>
      </c>
      <c r="L44" s="440">
        <v>0</v>
      </c>
      <c r="M44" s="437">
        <f>IF($S$10=TRUE,L44,0)</f>
        <v>0</v>
      </c>
      <c r="N44" s="155">
        <f t="shared" si="14"/>
        <v>0</v>
      </c>
      <c r="O44" s="418"/>
    </row>
    <row r="45" spans="1:15" ht="12.75" customHeight="1" x14ac:dyDescent="0.2">
      <c r="A45" s="251">
        <v>31</v>
      </c>
      <c r="B45" s="654" t="s">
        <v>37</v>
      </c>
      <c r="C45" s="645"/>
      <c r="D45" s="20">
        <v>6890</v>
      </c>
      <c r="E45" s="13">
        <f>(L45-I45)*IF(' 2. Checklist and Cert - 170'!$L$5=0,' 2. Checklist and Cert - 170'!$L$4,' 2. Checklist and Cert - 170'!$L$5)</f>
        <v>0</v>
      </c>
      <c r="F45" s="190">
        <f>(M45-J45)*IF(' 2. Checklist and Cert - 170'!$L$5=0,' 2. Checklist and Cert - 170'!$L$4,' 2. Checklist and Cert - 170'!$L$5)</f>
        <v>0</v>
      </c>
      <c r="G45" s="13">
        <f t="shared" si="12"/>
        <v>0</v>
      </c>
      <c r="H45" s="190">
        <f t="shared" si="12"/>
        <v>0</v>
      </c>
      <c r="I45" s="439">
        <v>0</v>
      </c>
      <c r="J45" s="437">
        <f t="shared" si="13"/>
        <v>0</v>
      </c>
      <c r="K45" s="13">
        <f>'5. Approved Cash Flow - 173'!L46</f>
        <v>0</v>
      </c>
      <c r="L45" s="440">
        <v>0</v>
      </c>
      <c r="M45" s="437">
        <f>IF($S$10=TRUE,L45,0)</f>
        <v>0</v>
      </c>
      <c r="N45" s="155">
        <f t="shared" si="14"/>
        <v>0</v>
      </c>
      <c r="O45" s="418"/>
    </row>
    <row r="46" spans="1:15" ht="12.75" customHeight="1" x14ac:dyDescent="0.2">
      <c r="A46" s="251">
        <v>32</v>
      </c>
      <c r="B46" s="654" t="s">
        <v>96</v>
      </c>
      <c r="C46" s="645"/>
      <c r="D46" s="62">
        <v>6890</v>
      </c>
      <c r="E46" s="13">
        <f>(L46-I46)*IF(' 2. Checklist and Cert - 170'!$L$5=0,' 2. Checklist and Cert - 170'!$L$4,' 2. Checklist and Cert - 170'!$L$5)</f>
        <v>0</v>
      </c>
      <c r="F46" s="190">
        <f>(M46-J46)*IF(' 2. Checklist and Cert - 170'!$L$5=0,' 2. Checklist and Cert - 170'!$L$4,' 2. Checklist and Cert - 170'!$L$5)</f>
        <v>0</v>
      </c>
      <c r="G46" s="13">
        <f t="shared" si="12"/>
        <v>0</v>
      </c>
      <c r="H46" s="190">
        <f t="shared" si="12"/>
        <v>0</v>
      </c>
      <c r="I46" s="439">
        <v>0</v>
      </c>
      <c r="J46" s="437">
        <f t="shared" si="13"/>
        <v>0</v>
      </c>
      <c r="K46" s="13">
        <f>'5. Approved Cash Flow - 173'!L47</f>
        <v>0</v>
      </c>
      <c r="L46" s="186">
        <f>G107</f>
        <v>0</v>
      </c>
      <c r="M46" s="190">
        <f>I107</f>
        <v>0</v>
      </c>
      <c r="N46" s="155">
        <f t="shared" si="14"/>
        <v>0</v>
      </c>
      <c r="O46" s="418"/>
    </row>
    <row r="47" spans="1:15" s="126" customFormat="1" ht="12.75" customHeight="1" x14ac:dyDescent="0.2">
      <c r="A47" s="250">
        <v>33</v>
      </c>
      <c r="B47" s="668" t="s">
        <v>97</v>
      </c>
      <c r="C47" s="669"/>
      <c r="D47" s="53" t="s">
        <v>98</v>
      </c>
      <c r="E47" s="14">
        <f t="shared" ref="E47:J47" si="15">SUM(E41:E46)</f>
        <v>0</v>
      </c>
      <c r="F47" s="201">
        <f t="shared" si="15"/>
        <v>0</v>
      </c>
      <c r="G47" s="14">
        <f t="shared" si="15"/>
        <v>0</v>
      </c>
      <c r="H47" s="201">
        <f t="shared" si="15"/>
        <v>0</v>
      </c>
      <c r="I47" s="14">
        <f t="shared" si="15"/>
        <v>0</v>
      </c>
      <c r="J47" s="201">
        <f t="shared" si="15"/>
        <v>0</v>
      </c>
      <c r="K47" s="14">
        <f>SUM(K41:K46)</f>
        <v>0</v>
      </c>
      <c r="L47" s="208">
        <f>SUM(L41:L46)</f>
        <v>0</v>
      </c>
      <c r="M47" s="201">
        <f>SUM(M41:M46)</f>
        <v>0</v>
      </c>
      <c r="N47" s="159">
        <f>SUM(N41:N46)</f>
        <v>0</v>
      </c>
      <c r="O47" s="418"/>
    </row>
    <row r="48" spans="1:15" ht="11.25" customHeight="1" x14ac:dyDescent="0.2">
      <c r="A48" s="249"/>
      <c r="B48" s="655" t="s">
        <v>101</v>
      </c>
      <c r="C48" s="653"/>
      <c r="D48" s="20"/>
      <c r="E48" s="13"/>
      <c r="F48" s="190"/>
      <c r="G48" s="13"/>
      <c r="H48" s="190"/>
      <c r="I48" s="13"/>
      <c r="J48" s="190"/>
      <c r="K48" s="13"/>
      <c r="L48" s="186"/>
      <c r="M48" s="190"/>
      <c r="N48" s="180"/>
      <c r="O48" s="412"/>
    </row>
    <row r="49" spans="1:15" ht="12.75" customHeight="1" x14ac:dyDescent="0.2">
      <c r="A49" s="249">
        <v>34</v>
      </c>
      <c r="B49" s="654" t="s">
        <v>93</v>
      </c>
      <c r="C49" s="645"/>
      <c r="D49" s="20">
        <v>1320</v>
      </c>
      <c r="E49" s="13">
        <f>(L49-I49)*IF(' 2. Checklist and Cert - 170'!$L$5=0,' 2. Checklist and Cert - 170'!$L$4,' 2. Checklist and Cert - 170'!$L$5)</f>
        <v>0</v>
      </c>
      <c r="F49" s="190">
        <f>(M49-J49)*IF(' 2. Checklist and Cert - 170'!$L$5=0,' 2. Checklist and Cert - 170'!$L$4,' 2. Checklist and Cert - 170'!$L$5)</f>
        <v>0</v>
      </c>
      <c r="G49" s="13">
        <f t="shared" ref="G49:H53" si="16">L49-E49-I49</f>
        <v>0</v>
      </c>
      <c r="H49" s="190">
        <f t="shared" si="16"/>
        <v>0</v>
      </c>
      <c r="I49" s="439">
        <v>0</v>
      </c>
      <c r="J49" s="437">
        <f>IF($R$10=TRUE,I49,0)</f>
        <v>0</v>
      </c>
      <c r="K49" s="13">
        <f>'5. Approved Cash Flow - 173'!L50</f>
        <v>0</v>
      </c>
      <c r="L49" s="440">
        <v>0</v>
      </c>
      <c r="M49" s="437">
        <f>IF($S$10=TRUE,L49,0)</f>
        <v>0</v>
      </c>
      <c r="N49" s="155">
        <f>K49-M49</f>
        <v>0</v>
      </c>
      <c r="O49" s="418"/>
    </row>
    <row r="50" spans="1:15" ht="12.75" customHeight="1" x14ac:dyDescent="0.2">
      <c r="A50" s="249">
        <v>35</v>
      </c>
      <c r="B50" s="654" t="s">
        <v>94</v>
      </c>
      <c r="C50" s="645"/>
      <c r="D50" s="20">
        <v>1330</v>
      </c>
      <c r="E50" s="13">
        <f>(L50-I50)*IF(' 2. Checklist and Cert - 170'!$L$5=0,' 2. Checklist and Cert - 170'!$L$4,' 2. Checklist and Cert - 170'!$L$5)</f>
        <v>0</v>
      </c>
      <c r="F50" s="190">
        <f>(M50-J50)*IF(' 2. Checklist and Cert - 170'!$L$5=0,' 2. Checklist and Cert - 170'!$L$4,' 2. Checklist and Cert - 170'!$L$5)</f>
        <v>0</v>
      </c>
      <c r="G50" s="13">
        <f t="shared" si="16"/>
        <v>0</v>
      </c>
      <c r="H50" s="190">
        <f t="shared" si="16"/>
        <v>0</v>
      </c>
      <c r="I50" s="439">
        <v>0</v>
      </c>
      <c r="J50" s="437">
        <f>IF($R$10=TRUE,I50,0)</f>
        <v>0</v>
      </c>
      <c r="K50" s="13">
        <f>'5. Approved Cash Flow - 173'!L51</f>
        <v>0</v>
      </c>
      <c r="L50" s="440">
        <v>0</v>
      </c>
      <c r="M50" s="437">
        <f>IF($S$10=TRUE,L50,0)</f>
        <v>0</v>
      </c>
      <c r="N50" s="155">
        <f>K50-M50</f>
        <v>0</v>
      </c>
      <c r="O50" s="418"/>
    </row>
    <row r="51" spans="1:15" ht="12.75" customHeight="1" x14ac:dyDescent="0.2">
      <c r="A51" s="249">
        <v>36</v>
      </c>
      <c r="B51" s="654" t="s">
        <v>95</v>
      </c>
      <c r="C51" s="645"/>
      <c r="D51" s="20">
        <v>1330</v>
      </c>
      <c r="E51" s="13">
        <f>(L51-I51)*IF(' 2. Checklist and Cert - 170'!$L$5=0,' 2. Checklist and Cert - 170'!$L$4,' 2. Checklist and Cert - 170'!$L$5)</f>
        <v>0</v>
      </c>
      <c r="F51" s="190">
        <f>(M51-J51)*IF(' 2. Checklist and Cert - 170'!$L$5=0,' 2. Checklist and Cert - 170'!$L$4,' 2. Checklist and Cert - 170'!$L$5)</f>
        <v>0</v>
      </c>
      <c r="G51" s="13">
        <f t="shared" si="16"/>
        <v>0</v>
      </c>
      <c r="H51" s="190">
        <f t="shared" si="16"/>
        <v>0</v>
      </c>
      <c r="I51" s="439">
        <v>0</v>
      </c>
      <c r="J51" s="437">
        <f>IF($R$10=TRUE,I51,0)</f>
        <v>0</v>
      </c>
      <c r="K51" s="13">
        <f>'5. Approved Cash Flow - 173'!L52</f>
        <v>0</v>
      </c>
      <c r="L51" s="440">
        <v>0</v>
      </c>
      <c r="M51" s="437">
        <f>IF($S$10=TRUE,L51,0)</f>
        <v>0</v>
      </c>
      <c r="N51" s="155">
        <f>K51-M51</f>
        <v>0</v>
      </c>
      <c r="O51" s="418"/>
    </row>
    <row r="52" spans="1:15" ht="12.75" customHeight="1" x14ac:dyDescent="0.2">
      <c r="A52" s="249">
        <v>37</v>
      </c>
      <c r="B52" s="12" t="s">
        <v>38</v>
      </c>
      <c r="C52" s="441" t="str">
        <f>+IF('5. Approved Cash Flow - 173'!C53=0," ",'5. Approved Cash Flow - 173'!C53)</f>
        <v xml:space="preserve"> </v>
      </c>
      <c r="D52" s="20">
        <v>1330</v>
      </c>
      <c r="E52" s="13">
        <f>(L52-I52)*IF(' 2. Checklist and Cert - 170'!$L$5=0,' 2. Checklist and Cert - 170'!$L$4,' 2. Checklist and Cert - 170'!$L$5)</f>
        <v>0</v>
      </c>
      <c r="F52" s="190">
        <f>(M52-J52)*IF(' 2. Checklist and Cert - 170'!$L$5=0,' 2. Checklist and Cert - 170'!$L$4,' 2. Checklist and Cert - 170'!$L$5)</f>
        <v>0</v>
      </c>
      <c r="G52" s="13">
        <f t="shared" si="16"/>
        <v>0</v>
      </c>
      <c r="H52" s="190">
        <f t="shared" si="16"/>
        <v>0</v>
      </c>
      <c r="I52" s="439">
        <v>0</v>
      </c>
      <c r="J52" s="437">
        <f>IF($R$10=TRUE,I52,0)</f>
        <v>0</v>
      </c>
      <c r="K52" s="13">
        <f>'5. Approved Cash Flow - 173'!L53</f>
        <v>0</v>
      </c>
      <c r="L52" s="440">
        <v>0</v>
      </c>
      <c r="M52" s="437">
        <f>IF($S$10=TRUE,L52,0)</f>
        <v>0</v>
      </c>
      <c r="N52" s="155">
        <f>K52-M52</f>
        <v>0</v>
      </c>
      <c r="O52" s="418"/>
    </row>
    <row r="53" spans="1:15" ht="12.75" customHeight="1" x14ac:dyDescent="0.2">
      <c r="A53" s="249">
        <v>38</v>
      </c>
      <c r="B53" s="12" t="s">
        <v>38</v>
      </c>
      <c r="C53" s="442" t="str">
        <f>+IF('5. Approved Cash Flow - 173'!C54=0," ",'5. Approved Cash Flow - 173'!C54)</f>
        <v xml:space="preserve"> </v>
      </c>
      <c r="D53" s="20">
        <v>1330</v>
      </c>
      <c r="E53" s="13">
        <f>(L53-I53)*IF(' 2. Checklist and Cert - 170'!$L$5=0,' 2. Checklist and Cert - 170'!$L$4,' 2. Checklist and Cert - 170'!$L$5)</f>
        <v>0</v>
      </c>
      <c r="F53" s="190">
        <f>(M53-J53)*IF(' 2. Checklist and Cert - 170'!$L$5=0,' 2. Checklist and Cert - 170'!$L$4,' 2. Checklist and Cert - 170'!$L$5)</f>
        <v>0</v>
      </c>
      <c r="G53" s="13">
        <f t="shared" si="16"/>
        <v>0</v>
      </c>
      <c r="H53" s="190">
        <f t="shared" si="16"/>
        <v>0</v>
      </c>
      <c r="I53" s="439">
        <v>0</v>
      </c>
      <c r="J53" s="437">
        <f>IF($R$10=TRUE,I53,0)</f>
        <v>0</v>
      </c>
      <c r="K53" s="13">
        <f>'5. Approved Cash Flow - 173'!L54</f>
        <v>0</v>
      </c>
      <c r="L53" s="440">
        <v>0</v>
      </c>
      <c r="M53" s="437">
        <f>IF($S$10=TRUE,L53,0)</f>
        <v>0</v>
      </c>
      <c r="N53" s="155">
        <f>K53-M53</f>
        <v>0</v>
      </c>
      <c r="O53" s="418"/>
    </row>
    <row r="54" spans="1:15" ht="12.75" customHeight="1" x14ac:dyDescent="0.2">
      <c r="A54" s="249">
        <v>39</v>
      </c>
      <c r="B54" s="668" t="s">
        <v>99</v>
      </c>
      <c r="C54" s="669"/>
      <c r="D54" s="63" t="s">
        <v>100</v>
      </c>
      <c r="E54" s="7">
        <f t="shared" ref="E54:N54" si="17">SUM(E49:E53)</f>
        <v>0</v>
      </c>
      <c r="F54" s="191">
        <f t="shared" si="17"/>
        <v>0</v>
      </c>
      <c r="G54" s="7">
        <f t="shared" si="17"/>
        <v>0</v>
      </c>
      <c r="H54" s="191">
        <f t="shared" si="17"/>
        <v>0</v>
      </c>
      <c r="I54" s="7">
        <f t="shared" si="17"/>
        <v>0</v>
      </c>
      <c r="J54" s="191">
        <f t="shared" si="17"/>
        <v>0</v>
      </c>
      <c r="K54" s="7">
        <f t="shared" si="17"/>
        <v>0</v>
      </c>
      <c r="L54" s="181">
        <f t="shared" si="17"/>
        <v>0</v>
      </c>
      <c r="M54" s="191">
        <f t="shared" si="17"/>
        <v>0</v>
      </c>
      <c r="N54" s="156">
        <f t="shared" si="17"/>
        <v>0</v>
      </c>
      <c r="O54" s="418"/>
    </row>
    <row r="55" spans="1:15" s="126" customFormat="1" ht="12.75" customHeight="1" x14ac:dyDescent="0.2">
      <c r="A55" s="264">
        <v>40</v>
      </c>
      <c r="B55" s="666" t="s">
        <v>86</v>
      </c>
      <c r="C55" s="667"/>
      <c r="D55" s="56"/>
      <c r="E55" s="8">
        <f t="shared" ref="E55:N55" si="18">+E39-E47-E54</f>
        <v>90000</v>
      </c>
      <c r="F55" s="200">
        <f t="shared" si="18"/>
        <v>0</v>
      </c>
      <c r="G55" s="8">
        <f t="shared" si="18"/>
        <v>0</v>
      </c>
      <c r="H55" s="200">
        <f t="shared" si="18"/>
        <v>0</v>
      </c>
      <c r="I55" s="8">
        <f t="shared" si="18"/>
        <v>0</v>
      </c>
      <c r="J55" s="200">
        <f t="shared" si="18"/>
        <v>0</v>
      </c>
      <c r="K55" s="8">
        <f t="shared" si="18"/>
        <v>0</v>
      </c>
      <c r="L55" s="210">
        <f t="shared" si="18"/>
        <v>90000</v>
      </c>
      <c r="M55" s="200">
        <f t="shared" si="18"/>
        <v>0</v>
      </c>
      <c r="N55" s="158">
        <f t="shared" si="18"/>
        <v>0</v>
      </c>
      <c r="O55" s="418"/>
    </row>
    <row r="56" spans="1:15" ht="11.25" customHeight="1" x14ac:dyDescent="0.2">
      <c r="A56" s="248"/>
      <c r="B56" s="51" t="s">
        <v>227</v>
      </c>
      <c r="C56" s="52"/>
      <c r="D56" s="20"/>
      <c r="E56" s="21"/>
      <c r="F56" s="202"/>
      <c r="G56" s="21"/>
      <c r="H56" s="202"/>
      <c r="I56" s="21"/>
      <c r="J56" s="202"/>
      <c r="K56" s="9"/>
      <c r="L56" s="211"/>
      <c r="M56" s="205"/>
      <c r="N56" s="155"/>
      <c r="O56" s="412"/>
    </row>
    <row r="57" spans="1:15" ht="12.75" customHeight="1" x14ac:dyDescent="0.2">
      <c r="A57" s="249">
        <v>41</v>
      </c>
      <c r="B57" s="654" t="s">
        <v>55</v>
      </c>
      <c r="C57" s="645"/>
      <c r="D57" s="20"/>
      <c r="E57" s="13">
        <f>(L57-I57)*IF(' 2. Checklist and Cert - 170'!$L$5=0,' 2. Checklist and Cert - 170'!$L$4,' 2. Checklist and Cert - 170'!$L$5)</f>
        <v>0</v>
      </c>
      <c r="F57" s="190">
        <f>(M57-J57)*IF(' 2. Checklist and Cert - 170'!$L$5=0,' 2. Checklist and Cert - 170'!$L$4,' 2. Checklist and Cert - 170'!$L$5)</f>
        <v>0</v>
      </c>
      <c r="G57" s="13">
        <f t="shared" ref="G57:H60" si="19">L57-E57-I57</f>
        <v>0</v>
      </c>
      <c r="H57" s="190">
        <f t="shared" si="19"/>
        <v>0</v>
      </c>
      <c r="I57" s="439">
        <v>0</v>
      </c>
      <c r="J57" s="437">
        <f>IF($R$10=TRUE,I57,0)</f>
        <v>0</v>
      </c>
      <c r="K57" s="13">
        <f>'5. Approved Cash Flow - 173'!L58</f>
        <v>0</v>
      </c>
      <c r="L57" s="440">
        <v>0</v>
      </c>
      <c r="M57" s="437">
        <f>IF($S$10=TRUE,L57,0)</f>
        <v>0</v>
      </c>
      <c r="N57" s="155">
        <f t="shared" ref="N57:N68" si="20">K57-M57</f>
        <v>0</v>
      </c>
      <c r="O57" s="418"/>
    </row>
    <row r="58" spans="1:15" ht="12.75" customHeight="1" x14ac:dyDescent="0.2">
      <c r="A58" s="249">
        <v>42</v>
      </c>
      <c r="B58" s="12" t="s">
        <v>58</v>
      </c>
      <c r="C58" s="441" t="str">
        <f>+IF('5. Approved Cash Flow - 173'!C59=0," ",'5. Approved Cash Flow - 173'!C59)</f>
        <v xml:space="preserve"> </v>
      </c>
      <c r="D58" s="20"/>
      <c r="E58" s="13">
        <f>(L58-I58)*IF(' 2. Checklist and Cert - 170'!$L$5=0,' 2. Checklist and Cert - 170'!$L$4,' 2. Checklist and Cert - 170'!$L$5)</f>
        <v>0</v>
      </c>
      <c r="F58" s="190">
        <f>(M58-J58)*IF(' 2. Checklist and Cert - 170'!$L$5=0,' 2. Checklist and Cert - 170'!$L$4,' 2. Checklist and Cert - 170'!$L$5)</f>
        <v>0</v>
      </c>
      <c r="G58" s="13">
        <f t="shared" si="19"/>
        <v>0</v>
      </c>
      <c r="H58" s="190">
        <f t="shared" si="19"/>
        <v>0</v>
      </c>
      <c r="I58" s="439">
        <v>0</v>
      </c>
      <c r="J58" s="437">
        <f>IF($R$10=TRUE,I58,0)</f>
        <v>0</v>
      </c>
      <c r="K58" s="13">
        <f>'5. Approved Cash Flow - 173'!L59</f>
        <v>0</v>
      </c>
      <c r="L58" s="440">
        <v>0</v>
      </c>
      <c r="M58" s="437">
        <f>IF($S$10=TRUE,L58,0)</f>
        <v>0</v>
      </c>
      <c r="N58" s="155">
        <f t="shared" si="20"/>
        <v>0</v>
      </c>
      <c r="O58" s="418"/>
    </row>
    <row r="59" spans="1:15" ht="12.75" customHeight="1" x14ac:dyDescent="0.2">
      <c r="A59" s="249">
        <v>43</v>
      </c>
      <c r="B59" s="12" t="s">
        <v>58</v>
      </c>
      <c r="C59" s="442" t="str">
        <f>+IF('5. Approved Cash Flow - 173'!C60=0," ",'5. Approved Cash Flow - 173'!C60)</f>
        <v xml:space="preserve"> </v>
      </c>
      <c r="D59" s="20"/>
      <c r="E59" s="13">
        <f>(L59-I59)*IF(' 2. Checklist and Cert - 170'!$L$5=0,' 2. Checklist and Cert - 170'!$L$4,' 2. Checklist and Cert - 170'!$L$5)</f>
        <v>0</v>
      </c>
      <c r="F59" s="190">
        <f>(M59-J59)*IF(' 2. Checklist and Cert - 170'!$L$5=0,' 2. Checklist and Cert - 170'!$L$4,' 2. Checklist and Cert - 170'!$L$5)</f>
        <v>0</v>
      </c>
      <c r="G59" s="13">
        <f t="shared" si="19"/>
        <v>0</v>
      </c>
      <c r="H59" s="190">
        <f t="shared" si="19"/>
        <v>0</v>
      </c>
      <c r="I59" s="439">
        <v>0</v>
      </c>
      <c r="J59" s="437">
        <f>IF($R$10=TRUE,I59,0)</f>
        <v>0</v>
      </c>
      <c r="K59" s="13">
        <f>'5. Approved Cash Flow - 173'!L60</f>
        <v>0</v>
      </c>
      <c r="L59" s="440">
        <v>0</v>
      </c>
      <c r="M59" s="437">
        <f>IF($S$10=TRUE,L59,0)</f>
        <v>0</v>
      </c>
      <c r="N59" s="155">
        <f t="shared" si="20"/>
        <v>0</v>
      </c>
      <c r="O59" s="418"/>
    </row>
    <row r="60" spans="1:15" ht="12.75" customHeight="1" x14ac:dyDescent="0.2">
      <c r="A60" s="249">
        <v>44</v>
      </c>
      <c r="B60" s="12" t="s">
        <v>58</v>
      </c>
      <c r="C60" s="442" t="str">
        <f>+IF('5. Approved Cash Flow - 173'!C61=0," ",'5. Approved Cash Flow - 173'!C61)</f>
        <v xml:space="preserve"> </v>
      </c>
      <c r="D60" s="20"/>
      <c r="E60" s="13">
        <f>(L60-I60)*IF(' 2. Checklist and Cert - 170'!$L$5=0,' 2. Checklist and Cert - 170'!$L$4,' 2. Checklist and Cert - 170'!$L$5)</f>
        <v>0</v>
      </c>
      <c r="F60" s="190">
        <f>(M60-J60)*IF(' 2. Checklist and Cert - 170'!$L$5=0,' 2. Checklist and Cert - 170'!$L$4,' 2. Checklist and Cert - 170'!$L$5)</f>
        <v>0</v>
      </c>
      <c r="G60" s="13">
        <f t="shared" si="19"/>
        <v>0</v>
      </c>
      <c r="H60" s="190">
        <f t="shared" si="19"/>
        <v>0</v>
      </c>
      <c r="I60" s="439">
        <v>0</v>
      </c>
      <c r="J60" s="437">
        <f>IF($R$10=TRUE,I60,0)</f>
        <v>0</v>
      </c>
      <c r="K60" s="13">
        <f>'5. Approved Cash Flow - 173'!L61</f>
        <v>0</v>
      </c>
      <c r="L60" s="440">
        <v>0</v>
      </c>
      <c r="M60" s="437">
        <f>IF($S$10=TRUE,L60,0)</f>
        <v>0</v>
      </c>
      <c r="N60" s="155">
        <f t="shared" si="20"/>
        <v>0</v>
      </c>
      <c r="O60" s="418"/>
    </row>
    <row r="61" spans="1:15" ht="12.75" customHeight="1" x14ac:dyDescent="0.2">
      <c r="A61" s="250">
        <v>45</v>
      </c>
      <c r="B61" s="668" t="s">
        <v>56</v>
      </c>
      <c r="C61" s="669"/>
      <c r="D61" s="214"/>
      <c r="E61" s="7">
        <f t="shared" ref="E61:N61" si="21">SUM(E57:E60)</f>
        <v>0</v>
      </c>
      <c r="F61" s="191">
        <f t="shared" si="21"/>
        <v>0</v>
      </c>
      <c r="G61" s="7">
        <f t="shared" si="21"/>
        <v>0</v>
      </c>
      <c r="H61" s="191">
        <f t="shared" si="21"/>
        <v>0</v>
      </c>
      <c r="I61" s="7">
        <f t="shared" si="21"/>
        <v>0</v>
      </c>
      <c r="J61" s="191">
        <f t="shared" si="21"/>
        <v>0</v>
      </c>
      <c r="K61" s="7">
        <f t="shared" si="21"/>
        <v>0</v>
      </c>
      <c r="L61" s="181">
        <f t="shared" si="21"/>
        <v>0</v>
      </c>
      <c r="M61" s="191">
        <f t="shared" si="21"/>
        <v>0</v>
      </c>
      <c r="N61" s="156">
        <f t="shared" si="21"/>
        <v>0</v>
      </c>
      <c r="O61" s="418"/>
    </row>
    <row r="62" spans="1:15" ht="11.25" customHeight="1" x14ac:dyDescent="0.2">
      <c r="A62" s="249"/>
      <c r="B62" s="655" t="s">
        <v>253</v>
      </c>
      <c r="C62" s="653"/>
      <c r="D62" s="20"/>
      <c r="E62" s="9"/>
      <c r="F62" s="205"/>
      <c r="G62" s="9"/>
      <c r="H62" s="205"/>
      <c r="I62" s="13"/>
      <c r="J62" s="190"/>
      <c r="K62" s="13"/>
      <c r="L62" s="186"/>
      <c r="M62" s="190"/>
      <c r="N62" s="180"/>
      <c r="O62" s="412"/>
    </row>
    <row r="63" spans="1:15" ht="12.75" customHeight="1" x14ac:dyDescent="0.2">
      <c r="A63" s="249">
        <v>46</v>
      </c>
      <c r="B63" s="654" t="s">
        <v>107</v>
      </c>
      <c r="C63" s="645"/>
      <c r="D63" s="62" t="s">
        <v>32</v>
      </c>
      <c r="E63" s="13">
        <f>(L63-I63)*IF(' 2. Checklist and Cert - 170'!$L$5=0,' 2. Checklist and Cert - 170'!$L$4,' 2. Checklist and Cert - 170'!$L$5)</f>
        <v>0</v>
      </c>
      <c r="F63" s="190">
        <f>(M63-J63)*IF(' 2. Checklist and Cert - 170'!$L$5=0,' 2. Checklist and Cert - 170'!$L$4,' 2. Checklist and Cert - 170'!$L$5)</f>
        <v>0</v>
      </c>
      <c r="G63" s="13">
        <f t="shared" ref="G63:H68" si="22">L63-E63-I63</f>
        <v>0</v>
      </c>
      <c r="H63" s="190">
        <f t="shared" si="22"/>
        <v>0</v>
      </c>
      <c r="I63" s="439">
        <v>0</v>
      </c>
      <c r="J63" s="437">
        <f t="shared" ref="J63:J68" si="23">IF($R$10=TRUE,I63,0)</f>
        <v>0</v>
      </c>
      <c r="K63" s="13">
        <f>'5. Approved Cash Flow - 173'!L64</f>
        <v>0</v>
      </c>
      <c r="L63" s="440">
        <v>0</v>
      </c>
      <c r="M63" s="437">
        <f t="shared" ref="M63:M68" si="24">IF($S$10=TRUE,L63,0)</f>
        <v>0</v>
      </c>
      <c r="N63" s="155">
        <f t="shared" si="20"/>
        <v>0</v>
      </c>
      <c r="O63" s="418"/>
    </row>
    <row r="64" spans="1:15" ht="12.75" customHeight="1" x14ac:dyDescent="0.2">
      <c r="A64" s="249">
        <v>47</v>
      </c>
      <c r="B64" s="654" t="s">
        <v>302</v>
      </c>
      <c r="C64" s="645"/>
      <c r="D64" s="20">
        <v>7190</v>
      </c>
      <c r="E64" s="234">
        <f>(L64-I64)*IF(' 2. Checklist and Cert - 170'!$L$5=0,' 2. Checklist and Cert - 170'!$L$4,' 2. Checklist and Cert - 170'!$L$5)</f>
        <v>0</v>
      </c>
      <c r="F64" s="235">
        <f>(M64-J64)*IF(' 2. Checklist and Cert - 170'!$L$5=0,' 2. Checklist and Cert - 170'!$L$4,' 2. Checklist and Cert - 170'!$L$5)</f>
        <v>0</v>
      </c>
      <c r="G64" s="234">
        <f t="shared" si="22"/>
        <v>0</v>
      </c>
      <c r="H64" s="235">
        <f t="shared" si="22"/>
        <v>0</v>
      </c>
      <c r="I64" s="439">
        <v>0</v>
      </c>
      <c r="J64" s="444">
        <f t="shared" si="23"/>
        <v>0</v>
      </c>
      <c r="K64" s="13">
        <f>'5. Approved Cash Flow - 173'!L65</f>
        <v>0</v>
      </c>
      <c r="L64" s="440">
        <v>0</v>
      </c>
      <c r="M64" s="437">
        <f t="shared" si="24"/>
        <v>0</v>
      </c>
      <c r="N64" s="155">
        <f t="shared" si="20"/>
        <v>0</v>
      </c>
      <c r="O64" s="418"/>
    </row>
    <row r="65" spans="1:19" ht="12.75" customHeight="1" x14ac:dyDescent="0.2">
      <c r="A65" s="249">
        <v>48</v>
      </c>
      <c r="B65" s="654" t="s">
        <v>40</v>
      </c>
      <c r="C65" s="645"/>
      <c r="D65" s="20"/>
      <c r="E65" s="13">
        <f>(L65-I65)*IF(' 2. Checklist and Cert - 170'!$L$5=0,' 2. Checklist and Cert - 170'!$L$4,' 2. Checklist and Cert - 170'!$L$5)</f>
        <v>0</v>
      </c>
      <c r="F65" s="190">
        <f>(M65-J65)*IF(' 2. Checklist and Cert - 170'!$L$5=0,' 2. Checklist and Cert - 170'!$L$4,' 2. Checklist and Cert - 170'!$L$5)</f>
        <v>0</v>
      </c>
      <c r="G65" s="13">
        <f t="shared" si="22"/>
        <v>0</v>
      </c>
      <c r="H65" s="190">
        <f t="shared" si="22"/>
        <v>0</v>
      </c>
      <c r="I65" s="439">
        <v>0</v>
      </c>
      <c r="J65" s="437">
        <f t="shared" si="23"/>
        <v>0</v>
      </c>
      <c r="K65" s="13">
        <f>'5. Approved Cash Flow - 173'!L66</f>
        <v>0</v>
      </c>
      <c r="L65" s="440">
        <v>0</v>
      </c>
      <c r="M65" s="437">
        <f t="shared" si="24"/>
        <v>0</v>
      </c>
      <c r="N65" s="155">
        <f t="shared" si="20"/>
        <v>0</v>
      </c>
      <c r="O65" s="418"/>
    </row>
    <row r="66" spans="1:19" ht="12.75" customHeight="1" x14ac:dyDescent="0.2">
      <c r="A66" s="249">
        <v>49</v>
      </c>
      <c r="B66" s="654" t="s">
        <v>41</v>
      </c>
      <c r="C66" s="645"/>
      <c r="D66" s="20"/>
      <c r="E66" s="13">
        <f>(L66-I66)*IF(' 2. Checklist and Cert - 170'!$L$5=0,' 2. Checklist and Cert - 170'!$L$4,' 2. Checklist and Cert - 170'!$L$5)</f>
        <v>0</v>
      </c>
      <c r="F66" s="190">
        <f>(M66-J66)*IF(' 2. Checklist and Cert - 170'!$L$5=0,' 2. Checklist and Cert - 170'!$L$4,' 2. Checklist and Cert - 170'!$L$5)</f>
        <v>0</v>
      </c>
      <c r="G66" s="13">
        <f t="shared" si="22"/>
        <v>0</v>
      </c>
      <c r="H66" s="190">
        <f t="shared" si="22"/>
        <v>0</v>
      </c>
      <c r="I66" s="439">
        <v>0</v>
      </c>
      <c r="J66" s="437">
        <f t="shared" si="23"/>
        <v>0</v>
      </c>
      <c r="K66" s="13">
        <f>'5. Approved Cash Flow - 173'!L67</f>
        <v>0</v>
      </c>
      <c r="L66" s="440">
        <v>0</v>
      </c>
      <c r="M66" s="437">
        <f t="shared" si="24"/>
        <v>0</v>
      </c>
      <c r="N66" s="155">
        <f t="shared" si="20"/>
        <v>0</v>
      </c>
      <c r="O66" s="418"/>
    </row>
    <row r="67" spans="1:19" ht="12.75" customHeight="1" x14ac:dyDescent="0.2">
      <c r="A67" s="249">
        <v>50</v>
      </c>
      <c r="B67" s="654" t="s">
        <v>39</v>
      </c>
      <c r="C67" s="645"/>
      <c r="D67" s="20"/>
      <c r="E67" s="13">
        <f>(L67-I67)*IF(' 2. Checklist and Cert - 170'!$L$5=0,' 2. Checklist and Cert - 170'!$L$4,' 2. Checklist and Cert - 170'!$L$5)</f>
        <v>0</v>
      </c>
      <c r="F67" s="190">
        <f>(M67-J67)*IF(' 2. Checklist and Cert - 170'!$L$5=0,' 2. Checklist and Cert - 170'!$L$4,' 2. Checklist and Cert - 170'!$L$5)</f>
        <v>0</v>
      </c>
      <c r="G67" s="13">
        <f t="shared" si="22"/>
        <v>0</v>
      </c>
      <c r="H67" s="190">
        <f t="shared" si="22"/>
        <v>0</v>
      </c>
      <c r="I67" s="439">
        <v>0</v>
      </c>
      <c r="J67" s="437">
        <f t="shared" si="23"/>
        <v>0</v>
      </c>
      <c r="K67" s="13">
        <f>'5. Approved Cash Flow - 173'!L68</f>
        <v>0</v>
      </c>
      <c r="L67" s="440">
        <v>0</v>
      </c>
      <c r="M67" s="437">
        <f t="shared" si="24"/>
        <v>0</v>
      </c>
      <c r="N67" s="155">
        <f t="shared" si="20"/>
        <v>0</v>
      </c>
      <c r="O67" s="418"/>
    </row>
    <row r="68" spans="1:19" ht="12.75" customHeight="1" x14ac:dyDescent="0.2">
      <c r="A68" s="249">
        <v>51</v>
      </c>
      <c r="B68" s="12" t="s">
        <v>58</v>
      </c>
      <c r="C68" s="441" t="str">
        <f>+IF('5. Approved Cash Flow - 173'!C69=0," ",'5. Approved Cash Flow - 173'!C69)</f>
        <v xml:space="preserve"> </v>
      </c>
      <c r="D68" s="20"/>
      <c r="E68" s="13">
        <f>(L68-I68)*IF(' 2. Checklist and Cert - 170'!$L$5=0,' 2. Checklist and Cert - 170'!$L$4,' 2. Checklist and Cert - 170'!$L$5)</f>
        <v>0</v>
      </c>
      <c r="F68" s="190">
        <f>(M68-J68)*IF(' 2. Checklist and Cert - 170'!$L$5=0,' 2. Checklist and Cert - 170'!$L$4,' 2. Checklist and Cert - 170'!$L$5)</f>
        <v>0</v>
      </c>
      <c r="G68" s="13">
        <f t="shared" si="22"/>
        <v>0</v>
      </c>
      <c r="H68" s="190">
        <f t="shared" si="22"/>
        <v>0</v>
      </c>
      <c r="I68" s="439">
        <v>0</v>
      </c>
      <c r="J68" s="437">
        <f t="shared" si="23"/>
        <v>0</v>
      </c>
      <c r="K68" s="13">
        <f>'5. Approved Cash Flow - 173'!L69</f>
        <v>0</v>
      </c>
      <c r="L68" s="440">
        <v>0</v>
      </c>
      <c r="M68" s="437">
        <f t="shared" si="24"/>
        <v>0</v>
      </c>
      <c r="N68" s="155">
        <f t="shared" si="20"/>
        <v>0</v>
      </c>
      <c r="O68" s="418"/>
    </row>
    <row r="69" spans="1:19" ht="12.75" customHeight="1" thickBot="1" x14ac:dyDescent="0.25">
      <c r="A69" s="255">
        <v>52</v>
      </c>
      <c r="B69" s="697" t="s">
        <v>57</v>
      </c>
      <c r="C69" s="698"/>
      <c r="D69" s="267"/>
      <c r="E69" s="277">
        <f t="shared" ref="E69:N69" si="25">SUM(E63:E68)</f>
        <v>0</v>
      </c>
      <c r="F69" s="278">
        <f t="shared" si="25"/>
        <v>0</v>
      </c>
      <c r="G69" s="277">
        <f t="shared" si="25"/>
        <v>0</v>
      </c>
      <c r="H69" s="278">
        <f t="shared" si="25"/>
        <v>0</v>
      </c>
      <c r="I69" s="277">
        <f t="shared" si="25"/>
        <v>0</v>
      </c>
      <c r="J69" s="278">
        <f t="shared" si="25"/>
        <v>0</v>
      </c>
      <c r="K69" s="277">
        <f t="shared" si="25"/>
        <v>0</v>
      </c>
      <c r="L69" s="279">
        <f t="shared" si="25"/>
        <v>0</v>
      </c>
      <c r="M69" s="278">
        <f t="shared" si="25"/>
        <v>0</v>
      </c>
      <c r="N69" s="280">
        <f t="shared" si="25"/>
        <v>0</v>
      </c>
      <c r="O69" s="420"/>
    </row>
    <row r="70" spans="1:19" ht="11.65" customHeight="1" thickTop="1" thickBot="1" x14ac:dyDescent="0.25"/>
    <row r="71" spans="1:19" customFormat="1" ht="18.75" customHeight="1" thickTop="1" x14ac:dyDescent="0.2">
      <c r="A71" s="693" t="s">
        <v>162</v>
      </c>
      <c r="B71" s="664" t="s">
        <v>175</v>
      </c>
      <c r="C71" s="695"/>
      <c r="D71" s="695"/>
      <c r="E71" s="695"/>
      <c r="F71" s="696"/>
      <c r="G71" s="664" t="s">
        <v>172</v>
      </c>
      <c r="H71" s="695"/>
      <c r="I71" s="870" t="s">
        <v>173</v>
      </c>
      <c r="J71" s="696"/>
      <c r="K71" s="865" t="s">
        <v>174</v>
      </c>
      <c r="L71" s="866"/>
      <c r="M71" s="866"/>
      <c r="N71" s="866"/>
      <c r="O71" s="867"/>
      <c r="P71" s="281"/>
      <c r="Q71" s="281"/>
      <c r="R71" s="281"/>
      <c r="S71" s="281"/>
    </row>
    <row r="72" spans="1:19" customFormat="1" ht="15" customHeight="1" x14ac:dyDescent="0.2">
      <c r="A72" s="694"/>
      <c r="B72" s="661" t="s">
        <v>203</v>
      </c>
      <c r="C72" s="662"/>
      <c r="D72" s="662"/>
      <c r="E72" s="662"/>
      <c r="F72" s="662"/>
      <c r="G72" s="662"/>
      <c r="H72" s="837"/>
      <c r="I72" s="860" t="s">
        <v>203</v>
      </c>
      <c r="J72" s="662"/>
      <c r="K72" s="662"/>
      <c r="L72" s="662"/>
      <c r="M72" s="662"/>
      <c r="N72" s="662"/>
      <c r="O72" s="663"/>
    </row>
    <row r="73" spans="1:19" customFormat="1" ht="15" customHeight="1" x14ac:dyDescent="0.2">
      <c r="A73" s="258">
        <v>54</v>
      </c>
      <c r="B73" s="646"/>
      <c r="C73" s="647"/>
      <c r="D73" s="647"/>
      <c r="E73" s="647"/>
      <c r="F73" s="648"/>
      <c r="G73" s="640"/>
      <c r="H73" s="831"/>
      <c r="I73" s="832"/>
      <c r="J73" s="833"/>
      <c r="K73" s="834"/>
      <c r="L73" s="835"/>
      <c r="M73" s="835"/>
      <c r="N73" s="835"/>
      <c r="O73" s="836"/>
    </row>
    <row r="74" spans="1:19" customFormat="1" ht="15" customHeight="1" x14ac:dyDescent="0.2">
      <c r="A74" s="258">
        <v>55</v>
      </c>
      <c r="B74" s="646"/>
      <c r="C74" s="647"/>
      <c r="D74" s="647"/>
      <c r="E74" s="647"/>
      <c r="F74" s="648"/>
      <c r="G74" s="640"/>
      <c r="H74" s="831"/>
      <c r="I74" s="832"/>
      <c r="J74" s="833"/>
      <c r="K74" s="834"/>
      <c r="L74" s="835"/>
      <c r="M74" s="835"/>
      <c r="N74" s="835"/>
      <c r="O74" s="836"/>
    </row>
    <row r="75" spans="1:19" customFormat="1" ht="15" customHeight="1" x14ac:dyDescent="0.2">
      <c r="A75" s="258">
        <v>56</v>
      </c>
      <c r="B75" s="646"/>
      <c r="C75" s="647"/>
      <c r="D75" s="647"/>
      <c r="E75" s="647"/>
      <c r="F75" s="648"/>
      <c r="G75" s="640"/>
      <c r="H75" s="831"/>
      <c r="I75" s="832"/>
      <c r="J75" s="833"/>
      <c r="K75" s="834"/>
      <c r="L75" s="835"/>
      <c r="M75" s="835"/>
      <c r="N75" s="835"/>
      <c r="O75" s="836"/>
    </row>
    <row r="76" spans="1:19" customFormat="1" ht="15" customHeight="1" x14ac:dyDescent="0.2">
      <c r="A76" s="258">
        <v>57</v>
      </c>
      <c r="B76" s="646"/>
      <c r="C76" s="647"/>
      <c r="D76" s="647"/>
      <c r="E76" s="647"/>
      <c r="F76" s="648"/>
      <c r="G76" s="640"/>
      <c r="H76" s="831"/>
      <c r="I76" s="832"/>
      <c r="J76" s="833"/>
      <c r="K76" s="834"/>
      <c r="L76" s="835"/>
      <c r="M76" s="835"/>
      <c r="N76" s="835"/>
      <c r="O76" s="836"/>
    </row>
    <row r="77" spans="1:19" customFormat="1" ht="15" customHeight="1" thickBot="1" x14ac:dyDescent="0.25">
      <c r="A77" s="258">
        <v>58</v>
      </c>
      <c r="B77" s="658" t="s">
        <v>204</v>
      </c>
      <c r="C77" s="659"/>
      <c r="D77" s="659"/>
      <c r="E77" s="659"/>
      <c r="F77" s="660"/>
      <c r="G77" s="656">
        <f>SUM(G73:H76)</f>
        <v>0</v>
      </c>
      <c r="H77" s="838"/>
      <c r="I77" s="871">
        <f>SUM(I73:J76)</f>
        <v>0</v>
      </c>
      <c r="J77" s="872"/>
      <c r="K77" s="857" t="s">
        <v>204</v>
      </c>
      <c r="L77" s="858"/>
      <c r="M77" s="858"/>
      <c r="N77" s="858"/>
      <c r="O77" s="859"/>
    </row>
    <row r="78" spans="1:19" customFormat="1" ht="18.75" customHeight="1" x14ac:dyDescent="0.2">
      <c r="A78" s="282"/>
      <c r="B78" s="468"/>
      <c r="C78" s="469"/>
      <c r="D78" s="469"/>
      <c r="E78" s="469"/>
      <c r="F78" s="469"/>
      <c r="G78" s="661" t="s">
        <v>172</v>
      </c>
      <c r="H78" s="662"/>
      <c r="I78" s="860" t="s">
        <v>173</v>
      </c>
      <c r="J78" s="861"/>
      <c r="K78" s="868"/>
      <c r="L78" s="868"/>
      <c r="M78" s="868"/>
      <c r="N78" s="868"/>
      <c r="O78" s="869"/>
      <c r="P78" s="283"/>
      <c r="Q78" s="283"/>
      <c r="R78" s="283"/>
      <c r="S78" s="283"/>
    </row>
    <row r="79" spans="1:19" customFormat="1" ht="15" customHeight="1" x14ac:dyDescent="0.2">
      <c r="A79" s="258"/>
      <c r="B79" s="661" t="s">
        <v>206</v>
      </c>
      <c r="C79" s="662"/>
      <c r="D79" s="662"/>
      <c r="E79" s="662"/>
      <c r="F79" s="662"/>
      <c r="G79" s="662"/>
      <c r="H79" s="837"/>
      <c r="I79" s="662" t="s">
        <v>206</v>
      </c>
      <c r="J79" s="662"/>
      <c r="K79" s="662"/>
      <c r="L79" s="662"/>
      <c r="M79" s="662"/>
      <c r="N79" s="662"/>
      <c r="O79" s="663"/>
    </row>
    <row r="80" spans="1:19" customFormat="1" ht="15" customHeight="1" x14ac:dyDescent="0.2">
      <c r="A80" s="258">
        <v>59</v>
      </c>
      <c r="B80" s="646"/>
      <c r="C80" s="647"/>
      <c r="D80" s="647"/>
      <c r="E80" s="647"/>
      <c r="F80" s="648"/>
      <c r="G80" s="640"/>
      <c r="H80" s="831"/>
      <c r="I80" s="832"/>
      <c r="J80" s="833"/>
      <c r="K80" s="834"/>
      <c r="L80" s="835"/>
      <c r="M80" s="835"/>
      <c r="N80" s="835"/>
      <c r="O80" s="836"/>
    </row>
    <row r="81" spans="1:19" customFormat="1" ht="15" customHeight="1" x14ac:dyDescent="0.2">
      <c r="A81" s="258">
        <v>60</v>
      </c>
      <c r="B81" s="646"/>
      <c r="C81" s="647"/>
      <c r="D81" s="647"/>
      <c r="E81" s="647"/>
      <c r="F81" s="648"/>
      <c r="G81" s="640"/>
      <c r="H81" s="831"/>
      <c r="I81" s="832"/>
      <c r="J81" s="833"/>
      <c r="K81" s="834"/>
      <c r="L81" s="835"/>
      <c r="M81" s="835"/>
      <c r="N81" s="835"/>
      <c r="O81" s="836"/>
    </row>
    <row r="82" spans="1:19" customFormat="1" ht="15" customHeight="1" x14ac:dyDescent="0.2">
      <c r="A82" s="258">
        <v>61</v>
      </c>
      <c r="B82" s="646"/>
      <c r="C82" s="647"/>
      <c r="D82" s="647"/>
      <c r="E82" s="647"/>
      <c r="F82" s="648"/>
      <c r="G82" s="640"/>
      <c r="H82" s="831"/>
      <c r="I82" s="832"/>
      <c r="J82" s="833"/>
      <c r="K82" s="834"/>
      <c r="L82" s="835"/>
      <c r="M82" s="835"/>
      <c r="N82" s="835"/>
      <c r="O82" s="836"/>
    </row>
    <row r="83" spans="1:19" customFormat="1" ht="15" customHeight="1" x14ac:dyDescent="0.2">
      <c r="A83" s="258">
        <v>62</v>
      </c>
      <c r="B83" s="646"/>
      <c r="C83" s="647"/>
      <c r="D83" s="647"/>
      <c r="E83" s="647"/>
      <c r="F83" s="648"/>
      <c r="G83" s="640"/>
      <c r="H83" s="831"/>
      <c r="I83" s="832"/>
      <c r="J83" s="833"/>
      <c r="K83" s="834"/>
      <c r="L83" s="835"/>
      <c r="M83" s="835"/>
      <c r="N83" s="835"/>
      <c r="O83" s="836"/>
    </row>
    <row r="84" spans="1:19" customFormat="1" ht="15" customHeight="1" thickBot="1" x14ac:dyDescent="0.25">
      <c r="A84" s="258">
        <v>63</v>
      </c>
      <c r="B84" s="658" t="s">
        <v>207</v>
      </c>
      <c r="C84" s="659"/>
      <c r="D84" s="659"/>
      <c r="E84" s="659"/>
      <c r="F84" s="660"/>
      <c r="G84" s="656">
        <f>SUM(G80:H83)</f>
        <v>0</v>
      </c>
      <c r="H84" s="838"/>
      <c r="I84" s="871">
        <f>SUM(I80:J83)</f>
        <v>0</v>
      </c>
      <c r="J84" s="872"/>
      <c r="K84" s="857" t="s">
        <v>207</v>
      </c>
      <c r="L84" s="858"/>
      <c r="M84" s="858"/>
      <c r="N84" s="858"/>
      <c r="O84" s="859"/>
    </row>
    <row r="85" spans="1:19" customFormat="1" ht="18.75" customHeight="1" x14ac:dyDescent="0.2">
      <c r="A85" s="282"/>
      <c r="B85" s="468"/>
      <c r="C85" s="469"/>
      <c r="D85" s="469"/>
      <c r="E85" s="469"/>
      <c r="F85" s="469"/>
      <c r="G85" s="661" t="s">
        <v>172</v>
      </c>
      <c r="H85" s="662"/>
      <c r="I85" s="860" t="s">
        <v>173</v>
      </c>
      <c r="J85" s="861"/>
      <c r="K85" s="868"/>
      <c r="L85" s="868"/>
      <c r="M85" s="868"/>
      <c r="N85" s="868"/>
      <c r="O85" s="869"/>
      <c r="P85" s="283"/>
      <c r="Q85" s="283"/>
      <c r="R85" s="283"/>
      <c r="S85" s="283"/>
    </row>
    <row r="86" spans="1:19" customFormat="1" ht="15" customHeight="1" x14ac:dyDescent="0.2">
      <c r="A86" s="258"/>
      <c r="B86" s="661" t="s">
        <v>211</v>
      </c>
      <c r="C86" s="662"/>
      <c r="D86" s="662"/>
      <c r="E86" s="662"/>
      <c r="F86" s="662"/>
      <c r="G86" s="662"/>
      <c r="H86" s="837"/>
      <c r="I86" s="662" t="s">
        <v>211</v>
      </c>
      <c r="J86" s="662"/>
      <c r="K86" s="662"/>
      <c r="L86" s="662"/>
      <c r="M86" s="662"/>
      <c r="N86" s="662"/>
      <c r="O86" s="663"/>
    </row>
    <row r="87" spans="1:19" customFormat="1" ht="15" customHeight="1" x14ac:dyDescent="0.2">
      <c r="A87" s="258">
        <v>64</v>
      </c>
      <c r="B87" s="646"/>
      <c r="C87" s="647"/>
      <c r="D87" s="647"/>
      <c r="E87" s="647"/>
      <c r="F87" s="648"/>
      <c r="G87" s="640"/>
      <c r="H87" s="831"/>
      <c r="I87" s="832"/>
      <c r="J87" s="833"/>
      <c r="K87" s="834"/>
      <c r="L87" s="835"/>
      <c r="M87" s="835"/>
      <c r="N87" s="835"/>
      <c r="O87" s="836"/>
    </row>
    <row r="88" spans="1:19" customFormat="1" ht="15" customHeight="1" x14ac:dyDescent="0.2">
      <c r="A88" s="258">
        <v>65</v>
      </c>
      <c r="B88" s="646"/>
      <c r="C88" s="647"/>
      <c r="D88" s="647"/>
      <c r="E88" s="647"/>
      <c r="F88" s="648"/>
      <c r="G88" s="640"/>
      <c r="H88" s="831"/>
      <c r="I88" s="832"/>
      <c r="J88" s="833"/>
      <c r="K88" s="834"/>
      <c r="L88" s="835"/>
      <c r="M88" s="835"/>
      <c r="N88" s="835"/>
      <c r="O88" s="836"/>
    </row>
    <row r="89" spans="1:19" customFormat="1" ht="15" customHeight="1" x14ac:dyDescent="0.2">
      <c r="A89" s="258">
        <v>66</v>
      </c>
      <c r="B89" s="646"/>
      <c r="C89" s="647"/>
      <c r="D89" s="647"/>
      <c r="E89" s="647"/>
      <c r="F89" s="648"/>
      <c r="G89" s="640"/>
      <c r="H89" s="831"/>
      <c r="I89" s="832"/>
      <c r="J89" s="833"/>
      <c r="K89" s="834"/>
      <c r="L89" s="835"/>
      <c r="M89" s="835"/>
      <c r="N89" s="835"/>
      <c r="O89" s="836"/>
    </row>
    <row r="90" spans="1:19" customFormat="1" ht="15" customHeight="1" x14ac:dyDescent="0.2">
      <c r="A90" s="258">
        <v>67</v>
      </c>
      <c r="B90" s="646"/>
      <c r="C90" s="647"/>
      <c r="D90" s="647"/>
      <c r="E90" s="647"/>
      <c r="F90" s="648"/>
      <c r="G90" s="640"/>
      <c r="H90" s="831"/>
      <c r="I90" s="832"/>
      <c r="J90" s="833"/>
      <c r="K90" s="834"/>
      <c r="L90" s="835"/>
      <c r="M90" s="835"/>
      <c r="N90" s="835"/>
      <c r="O90" s="836"/>
    </row>
    <row r="91" spans="1:19" customFormat="1" ht="15" customHeight="1" thickBot="1" x14ac:dyDescent="0.25">
      <c r="A91" s="258">
        <v>68</v>
      </c>
      <c r="B91" s="658" t="s">
        <v>212</v>
      </c>
      <c r="C91" s="659"/>
      <c r="D91" s="659"/>
      <c r="E91" s="659"/>
      <c r="F91" s="660"/>
      <c r="G91" s="656">
        <f>SUM(G87:H90)</f>
        <v>0</v>
      </c>
      <c r="H91" s="838"/>
      <c r="I91" s="871">
        <f>SUM(I87:J90)</f>
        <v>0</v>
      </c>
      <c r="J91" s="872"/>
      <c r="K91" s="857" t="s">
        <v>212</v>
      </c>
      <c r="L91" s="858"/>
      <c r="M91" s="858"/>
      <c r="N91" s="858"/>
      <c r="O91" s="859"/>
    </row>
    <row r="92" spans="1:19" customFormat="1" ht="18.75" customHeight="1" x14ac:dyDescent="0.2">
      <c r="A92" s="282"/>
      <c r="B92" s="468"/>
      <c r="C92" s="469"/>
      <c r="D92" s="469"/>
      <c r="E92" s="469"/>
      <c r="F92" s="469"/>
      <c r="G92" s="661" t="s">
        <v>172</v>
      </c>
      <c r="H92" s="662"/>
      <c r="I92" s="860" t="s">
        <v>173</v>
      </c>
      <c r="J92" s="861"/>
      <c r="K92" s="868"/>
      <c r="L92" s="868"/>
      <c r="M92" s="868"/>
      <c r="N92" s="868"/>
      <c r="O92" s="869"/>
      <c r="P92" s="283"/>
      <c r="Q92" s="283"/>
      <c r="R92" s="283"/>
      <c r="S92" s="283"/>
    </row>
    <row r="93" spans="1:19" customFormat="1" ht="15" customHeight="1" x14ac:dyDescent="0.2">
      <c r="A93" s="258"/>
      <c r="B93" s="661" t="s">
        <v>263</v>
      </c>
      <c r="C93" s="662"/>
      <c r="D93" s="662"/>
      <c r="E93" s="662"/>
      <c r="F93" s="662"/>
      <c r="G93" s="662"/>
      <c r="H93" s="837"/>
      <c r="I93" s="662" t="s">
        <v>263</v>
      </c>
      <c r="J93" s="662"/>
      <c r="K93" s="662"/>
      <c r="L93" s="662"/>
      <c r="M93" s="662"/>
      <c r="N93" s="662"/>
      <c r="O93" s="663"/>
    </row>
    <row r="94" spans="1:19" customFormat="1" ht="15" customHeight="1" x14ac:dyDescent="0.2">
      <c r="A94" s="258">
        <v>69</v>
      </c>
      <c r="B94" s="646"/>
      <c r="C94" s="647"/>
      <c r="D94" s="647"/>
      <c r="E94" s="647"/>
      <c r="F94" s="648"/>
      <c r="G94" s="640"/>
      <c r="H94" s="831"/>
      <c r="I94" s="832"/>
      <c r="J94" s="833"/>
      <c r="K94" s="834"/>
      <c r="L94" s="835"/>
      <c r="M94" s="835"/>
      <c r="N94" s="835"/>
      <c r="O94" s="836"/>
    </row>
    <row r="95" spans="1:19" customFormat="1" ht="15" customHeight="1" x14ac:dyDescent="0.2">
      <c r="A95" s="258">
        <v>70</v>
      </c>
      <c r="B95" s="646"/>
      <c r="C95" s="647"/>
      <c r="D95" s="647"/>
      <c r="E95" s="647"/>
      <c r="F95" s="648"/>
      <c r="G95" s="640"/>
      <c r="H95" s="831"/>
      <c r="I95" s="832"/>
      <c r="J95" s="833"/>
      <c r="K95" s="834"/>
      <c r="L95" s="835"/>
      <c r="M95" s="835"/>
      <c r="N95" s="835"/>
      <c r="O95" s="836"/>
    </row>
    <row r="96" spans="1:19" customFormat="1" ht="15" customHeight="1" x14ac:dyDescent="0.2">
      <c r="A96" s="258">
        <v>71</v>
      </c>
      <c r="B96" s="646"/>
      <c r="C96" s="647"/>
      <c r="D96" s="647"/>
      <c r="E96" s="647"/>
      <c r="F96" s="648"/>
      <c r="G96" s="640"/>
      <c r="H96" s="831"/>
      <c r="I96" s="832"/>
      <c r="J96" s="833"/>
      <c r="K96" s="834"/>
      <c r="L96" s="835"/>
      <c r="M96" s="835"/>
      <c r="N96" s="835"/>
      <c r="O96" s="836"/>
    </row>
    <row r="97" spans="1:19" customFormat="1" ht="15" customHeight="1" x14ac:dyDescent="0.2">
      <c r="A97" s="258">
        <v>72</v>
      </c>
      <c r="B97" s="646"/>
      <c r="C97" s="647"/>
      <c r="D97" s="647"/>
      <c r="E97" s="647"/>
      <c r="F97" s="648"/>
      <c r="G97" s="640"/>
      <c r="H97" s="831"/>
      <c r="I97" s="832"/>
      <c r="J97" s="833"/>
      <c r="K97" s="834"/>
      <c r="L97" s="835"/>
      <c r="M97" s="835"/>
      <c r="N97" s="835"/>
      <c r="O97" s="836"/>
    </row>
    <row r="98" spans="1:19" customFormat="1" ht="15" customHeight="1" x14ac:dyDescent="0.2">
      <c r="A98" s="258">
        <v>73</v>
      </c>
      <c r="B98" s="646"/>
      <c r="C98" s="647"/>
      <c r="D98" s="647"/>
      <c r="E98" s="647"/>
      <c r="F98" s="648"/>
      <c r="G98" s="640"/>
      <c r="H98" s="831"/>
      <c r="I98" s="832"/>
      <c r="J98" s="833"/>
      <c r="K98" s="834"/>
      <c r="L98" s="835"/>
      <c r="M98" s="835"/>
      <c r="N98" s="835"/>
      <c r="O98" s="836"/>
    </row>
    <row r="99" spans="1:19" customFormat="1" ht="15" customHeight="1" x14ac:dyDescent="0.2">
      <c r="A99" s="258">
        <v>74</v>
      </c>
      <c r="B99" s="646"/>
      <c r="C99" s="647"/>
      <c r="D99" s="647"/>
      <c r="E99" s="647"/>
      <c r="F99" s="648"/>
      <c r="G99" s="640"/>
      <c r="H99" s="831"/>
      <c r="I99" s="832"/>
      <c r="J99" s="833"/>
      <c r="K99" s="834"/>
      <c r="L99" s="835"/>
      <c r="M99" s="835"/>
      <c r="N99" s="835"/>
      <c r="O99" s="836"/>
    </row>
    <row r="100" spans="1:19" customFormat="1" ht="15" customHeight="1" thickBot="1" x14ac:dyDescent="0.25">
      <c r="A100" s="258">
        <v>75</v>
      </c>
      <c r="B100" s="658" t="s">
        <v>264</v>
      </c>
      <c r="C100" s="659"/>
      <c r="D100" s="659"/>
      <c r="E100" s="659"/>
      <c r="F100" s="660"/>
      <c r="G100" s="656">
        <f>SUM(G94:H99)</f>
        <v>0</v>
      </c>
      <c r="H100" s="838"/>
      <c r="I100" s="871">
        <f>SUM(I94:J99)</f>
        <v>0</v>
      </c>
      <c r="J100" s="872"/>
      <c r="K100" s="857" t="s">
        <v>264</v>
      </c>
      <c r="L100" s="858"/>
      <c r="M100" s="858"/>
      <c r="N100" s="858"/>
      <c r="O100" s="859"/>
    </row>
    <row r="101" spans="1:19" customFormat="1" ht="18.75" customHeight="1" x14ac:dyDescent="0.2">
      <c r="A101" s="282"/>
      <c r="B101" s="468"/>
      <c r="C101" s="469"/>
      <c r="D101" s="469"/>
      <c r="E101" s="469"/>
      <c r="F101" s="469"/>
      <c r="G101" s="661" t="s">
        <v>172</v>
      </c>
      <c r="H101" s="662"/>
      <c r="I101" s="860" t="s">
        <v>173</v>
      </c>
      <c r="J101" s="861"/>
      <c r="K101" s="868"/>
      <c r="L101" s="868"/>
      <c r="M101" s="868"/>
      <c r="N101" s="868"/>
      <c r="O101" s="869"/>
      <c r="P101" s="283"/>
      <c r="Q101" s="283"/>
      <c r="R101" s="283"/>
      <c r="S101" s="283"/>
    </row>
    <row r="102" spans="1:19" customFormat="1" ht="15" customHeight="1" x14ac:dyDescent="0.2">
      <c r="A102" s="258"/>
      <c r="B102" s="661" t="s">
        <v>158</v>
      </c>
      <c r="C102" s="662"/>
      <c r="D102" s="662"/>
      <c r="E102" s="662"/>
      <c r="F102" s="662"/>
      <c r="G102" s="662"/>
      <c r="H102" s="837"/>
      <c r="I102" s="662" t="s">
        <v>158</v>
      </c>
      <c r="J102" s="662"/>
      <c r="K102" s="662"/>
      <c r="L102" s="662"/>
      <c r="M102" s="662"/>
      <c r="N102" s="662"/>
      <c r="O102" s="663"/>
    </row>
    <row r="103" spans="1:19" customFormat="1" ht="15" customHeight="1" x14ac:dyDescent="0.2">
      <c r="A103" s="258">
        <v>76</v>
      </c>
      <c r="B103" s="646"/>
      <c r="C103" s="647"/>
      <c r="D103" s="647"/>
      <c r="E103" s="647"/>
      <c r="F103" s="648"/>
      <c r="G103" s="640"/>
      <c r="H103" s="831"/>
      <c r="I103" s="832"/>
      <c r="J103" s="833"/>
      <c r="K103" s="834"/>
      <c r="L103" s="835"/>
      <c r="M103" s="835"/>
      <c r="N103" s="835"/>
      <c r="O103" s="836"/>
    </row>
    <row r="104" spans="1:19" customFormat="1" ht="15" customHeight="1" x14ac:dyDescent="0.2">
      <c r="A104" s="258">
        <v>77</v>
      </c>
      <c r="B104" s="646"/>
      <c r="C104" s="647"/>
      <c r="D104" s="647"/>
      <c r="E104" s="647"/>
      <c r="F104" s="648"/>
      <c r="G104" s="640"/>
      <c r="H104" s="831"/>
      <c r="I104" s="832"/>
      <c r="J104" s="833"/>
      <c r="K104" s="834"/>
      <c r="L104" s="835"/>
      <c r="M104" s="835"/>
      <c r="N104" s="835"/>
      <c r="O104" s="836"/>
    </row>
    <row r="105" spans="1:19" customFormat="1" ht="15" customHeight="1" x14ac:dyDescent="0.2">
      <c r="A105" s="258">
        <v>78</v>
      </c>
      <c r="B105" s="646"/>
      <c r="C105" s="647"/>
      <c r="D105" s="647"/>
      <c r="E105" s="647"/>
      <c r="F105" s="648"/>
      <c r="G105" s="640"/>
      <c r="H105" s="831"/>
      <c r="I105" s="832"/>
      <c r="J105" s="833"/>
      <c r="K105" s="834"/>
      <c r="L105" s="835"/>
      <c r="M105" s="835"/>
      <c r="N105" s="835"/>
      <c r="O105" s="836"/>
    </row>
    <row r="106" spans="1:19" customFormat="1" ht="15" customHeight="1" x14ac:dyDescent="0.2">
      <c r="A106" s="258">
        <v>79</v>
      </c>
      <c r="B106" s="646"/>
      <c r="C106" s="647"/>
      <c r="D106" s="647"/>
      <c r="E106" s="647"/>
      <c r="F106" s="648"/>
      <c r="G106" s="640"/>
      <c r="H106" s="831"/>
      <c r="I106" s="832"/>
      <c r="J106" s="833"/>
      <c r="K106" s="834"/>
      <c r="L106" s="835"/>
      <c r="M106" s="835"/>
      <c r="N106" s="835"/>
      <c r="O106" s="836"/>
    </row>
    <row r="107" spans="1:19" customFormat="1" ht="15" customHeight="1" thickBot="1" x14ac:dyDescent="0.25">
      <c r="A107" s="261">
        <v>80</v>
      </c>
      <c r="B107" s="674" t="s">
        <v>161</v>
      </c>
      <c r="C107" s="675"/>
      <c r="D107" s="675"/>
      <c r="E107" s="675"/>
      <c r="F107" s="676"/>
      <c r="G107" s="677">
        <f>SUM(G103:H106)</f>
        <v>0</v>
      </c>
      <c r="H107" s="862"/>
      <c r="I107" s="863">
        <f>SUM(I103:J106)</f>
        <v>0</v>
      </c>
      <c r="J107" s="864"/>
      <c r="K107" s="873" t="s">
        <v>161</v>
      </c>
      <c r="L107" s="874"/>
      <c r="M107" s="874"/>
      <c r="N107" s="874"/>
      <c r="O107" s="875"/>
    </row>
    <row r="108" spans="1:19" ht="13.5" thickTop="1" x14ac:dyDescent="0.2"/>
    <row r="109" spans="1:19" x14ac:dyDescent="0.2"/>
    <row r="110" spans="1:19" x14ac:dyDescent="0.2"/>
  </sheetData>
  <sheetProtection algorithmName="SHA-512" hashValue="Sl/tUwJj/cslC4MgYrZVAJPok/P1yxk2uVFUiG1ATtCUwG5WyIYRcg7z+wdAnEabKopbmod9dACDX12b1ukVyQ==" saltValue="GXqA9/NSi5oKUIpzIHSkWQ==" spinCount="100000" sheet="1" objects="1" scenarios="1"/>
  <mergeCells count="211">
    <mergeCell ref="K107:O107"/>
    <mergeCell ref="K73:O73"/>
    <mergeCell ref="K74:O74"/>
    <mergeCell ref="K75:O75"/>
    <mergeCell ref="K76:O76"/>
    <mergeCell ref="K87:O87"/>
    <mergeCell ref="I102:O102"/>
    <mergeCell ref="K101:O101"/>
    <mergeCell ref="K103:O103"/>
    <mergeCell ref="K104:O104"/>
    <mergeCell ref="K88:O88"/>
    <mergeCell ref="K89:O89"/>
    <mergeCell ref="K90:O90"/>
    <mergeCell ref="K94:O94"/>
    <mergeCell ref="K98:O98"/>
    <mergeCell ref="K99:O99"/>
    <mergeCell ref="K105:O105"/>
    <mergeCell ref="I99:J99"/>
    <mergeCell ref="I100:J100"/>
    <mergeCell ref="K106:O106"/>
    <mergeCell ref="K91:O91"/>
    <mergeCell ref="K92:O92"/>
    <mergeCell ref="I106:J106"/>
    <mergeCell ref="I105:J105"/>
    <mergeCell ref="I89:J89"/>
    <mergeCell ref="I90:J90"/>
    <mergeCell ref="I91:J91"/>
    <mergeCell ref="I78:J78"/>
    <mergeCell ref="I87:J87"/>
    <mergeCell ref="I88:J88"/>
    <mergeCell ref="I92:J92"/>
    <mergeCell ref="I79:O79"/>
    <mergeCell ref="I96:J96"/>
    <mergeCell ref="K95:O95"/>
    <mergeCell ref="K96:O96"/>
    <mergeCell ref="I86:O86"/>
    <mergeCell ref="I93:O93"/>
    <mergeCell ref="I84:J84"/>
    <mergeCell ref="K84:O84"/>
    <mergeCell ref="I85:J85"/>
    <mergeCell ref="K85:O85"/>
    <mergeCell ref="I80:J80"/>
    <mergeCell ref="K80:O80"/>
    <mergeCell ref="I82:J82"/>
    <mergeCell ref="K82:O82"/>
    <mergeCell ref="K71:O71"/>
    <mergeCell ref="K77:O77"/>
    <mergeCell ref="K78:O78"/>
    <mergeCell ref="I71:J71"/>
    <mergeCell ref="I73:J73"/>
    <mergeCell ref="I74:J74"/>
    <mergeCell ref="I75:J75"/>
    <mergeCell ref="I76:J76"/>
    <mergeCell ref="I77:J77"/>
    <mergeCell ref="I72:O72"/>
    <mergeCell ref="B105:F105"/>
    <mergeCell ref="B106:F106"/>
    <mergeCell ref="B107:F107"/>
    <mergeCell ref="G106:H106"/>
    <mergeCell ref="G107:H107"/>
    <mergeCell ref="G105:H105"/>
    <mergeCell ref="I107:J107"/>
    <mergeCell ref="G103:H103"/>
    <mergeCell ref="G104:H104"/>
    <mergeCell ref="B104:F104"/>
    <mergeCell ref="B103:F103"/>
    <mergeCell ref="I103:J103"/>
    <mergeCell ref="G96:H96"/>
    <mergeCell ref="I94:J94"/>
    <mergeCell ref="I95:J95"/>
    <mergeCell ref="I104:J104"/>
    <mergeCell ref="G99:H99"/>
    <mergeCell ref="G100:H100"/>
    <mergeCell ref="G101:H101"/>
    <mergeCell ref="K100:O100"/>
    <mergeCell ref="B102:H102"/>
    <mergeCell ref="G98:H98"/>
    <mergeCell ref="B96:F96"/>
    <mergeCell ref="B97:F97"/>
    <mergeCell ref="B98:F98"/>
    <mergeCell ref="G94:H94"/>
    <mergeCell ref="G95:H95"/>
    <mergeCell ref="B94:F94"/>
    <mergeCell ref="B95:F95"/>
    <mergeCell ref="G97:H97"/>
    <mergeCell ref="B99:F99"/>
    <mergeCell ref="B100:F100"/>
    <mergeCell ref="I101:J101"/>
    <mergeCell ref="I97:J97"/>
    <mergeCell ref="I98:J98"/>
    <mergeCell ref="K97:O97"/>
    <mergeCell ref="G88:H88"/>
    <mergeCell ref="B87:F87"/>
    <mergeCell ref="B66:C66"/>
    <mergeCell ref="B67:C67"/>
    <mergeCell ref="G5:H5"/>
    <mergeCell ref="B61:C61"/>
    <mergeCell ref="B40:C40"/>
    <mergeCell ref="B45:C45"/>
    <mergeCell ref="B51:C51"/>
    <mergeCell ref="B28:C28"/>
    <mergeCell ref="B31:C31"/>
    <mergeCell ref="B32:C32"/>
    <mergeCell ref="B37:C37"/>
    <mergeCell ref="B16:C16"/>
    <mergeCell ref="B30:C30"/>
    <mergeCell ref="B29:C29"/>
    <mergeCell ref="B19:C19"/>
    <mergeCell ref="B24:C24"/>
    <mergeCell ref="B22:C22"/>
    <mergeCell ref="B18:C18"/>
    <mergeCell ref="B21:C21"/>
    <mergeCell ref="B20:C20"/>
    <mergeCell ref="B14:C14"/>
    <mergeCell ref="B15:C15"/>
    <mergeCell ref="B34:C34"/>
    <mergeCell ref="B27:C27"/>
    <mergeCell ref="B23:C23"/>
    <mergeCell ref="B26:C26"/>
    <mergeCell ref="B25:C25"/>
    <mergeCell ref="B93:H93"/>
    <mergeCell ref="B65:C65"/>
    <mergeCell ref="B39:C39"/>
    <mergeCell ref="B57:C57"/>
    <mergeCell ref="B54:C54"/>
    <mergeCell ref="B69:C69"/>
    <mergeCell ref="B62:C62"/>
    <mergeCell ref="B49:C49"/>
    <mergeCell ref="B50:C50"/>
    <mergeCell ref="B63:C63"/>
    <mergeCell ref="B55:C55"/>
    <mergeCell ref="G92:H92"/>
    <mergeCell ref="G89:H89"/>
    <mergeCell ref="G90:H90"/>
    <mergeCell ref="G91:H91"/>
    <mergeCell ref="B89:F89"/>
    <mergeCell ref="B90:F90"/>
    <mergeCell ref="B91:F91"/>
    <mergeCell ref="G87:H87"/>
    <mergeCell ref="A1:O1"/>
    <mergeCell ref="K7:M7"/>
    <mergeCell ref="N7:N9"/>
    <mergeCell ref="E7:F7"/>
    <mergeCell ref="G7:H7"/>
    <mergeCell ref="B13:C13"/>
    <mergeCell ref="I7:J7"/>
    <mergeCell ref="A7:A9"/>
    <mergeCell ref="O7:O9"/>
    <mergeCell ref="K4:L4"/>
    <mergeCell ref="G3:H3"/>
    <mergeCell ref="K3:L3"/>
    <mergeCell ref="A4:B4"/>
    <mergeCell ref="A5:B5"/>
    <mergeCell ref="E3:F3"/>
    <mergeCell ref="E4:F4"/>
    <mergeCell ref="K5:L5"/>
    <mergeCell ref="G4:H4"/>
    <mergeCell ref="B11:C11"/>
    <mergeCell ref="B7:C9"/>
    <mergeCell ref="B12:C12"/>
    <mergeCell ref="D7:D9"/>
    <mergeCell ref="B10:C10"/>
    <mergeCell ref="E5:F5"/>
    <mergeCell ref="B88:F88"/>
    <mergeCell ref="G85:H85"/>
    <mergeCell ref="A71:A72"/>
    <mergeCell ref="B71:F71"/>
    <mergeCell ref="G78:H78"/>
    <mergeCell ref="B73:F73"/>
    <mergeCell ref="B74:F74"/>
    <mergeCell ref="B72:H72"/>
    <mergeCell ref="G75:H75"/>
    <mergeCell ref="G76:H76"/>
    <mergeCell ref="G77:H77"/>
    <mergeCell ref="B75:F75"/>
    <mergeCell ref="B76:F76"/>
    <mergeCell ref="B77:F77"/>
    <mergeCell ref="G71:H71"/>
    <mergeCell ref="G73:H73"/>
    <mergeCell ref="G74:H74"/>
    <mergeCell ref="B84:F84"/>
    <mergeCell ref="G84:H84"/>
    <mergeCell ref="B86:H86"/>
    <mergeCell ref="B79:H79"/>
    <mergeCell ref="G80:H80"/>
    <mergeCell ref="B80:F80"/>
    <mergeCell ref="B83:F83"/>
    <mergeCell ref="I3:J3"/>
    <mergeCell ref="I4:J4"/>
    <mergeCell ref="I5:J5"/>
    <mergeCell ref="I6:J6"/>
    <mergeCell ref="K6:L6"/>
    <mergeCell ref="G83:H83"/>
    <mergeCell ref="I83:J83"/>
    <mergeCell ref="K83:O83"/>
    <mergeCell ref="B81:F81"/>
    <mergeCell ref="G81:H81"/>
    <mergeCell ref="I81:J81"/>
    <mergeCell ref="K81:O81"/>
    <mergeCell ref="B82:F82"/>
    <mergeCell ref="G82:H82"/>
    <mergeCell ref="B64:C64"/>
    <mergeCell ref="B33:C33"/>
    <mergeCell ref="B17:C17"/>
    <mergeCell ref="B36:C36"/>
    <mergeCell ref="B35:C35"/>
    <mergeCell ref="B48:C48"/>
    <mergeCell ref="B46:C46"/>
    <mergeCell ref="B47:C47"/>
    <mergeCell ref="B44:C44"/>
    <mergeCell ref="B38:C38"/>
  </mergeCells>
  <dataValidations count="26">
    <dataValidation allowBlank="1" showInputMessage="1" showErrorMessage="1" promptTitle="Acct. 5410 Financial Revenue" prompt="Itemized revenue detail must be entered beginning at Line 65 below.  The amount for this account is auto-populated from below." sqref="M29 M31" xr:uid="{00000000-0002-0000-0800-000000000000}"/>
    <dataValidation allowBlank="1" showInputMessage="1" showErrorMessage="1" promptTitle="Acct. 5190 Misc Rent Revenue" prompt="Itemized revenue detail must be entered beginning at Line #54 below.  The amount for this account is auto-populated from below." sqref="L16:M16" xr:uid="{00000000-0002-0000-0800-000001000000}"/>
    <dataValidation allowBlank="1" showInputMessage="1" showErrorMessage="1" promptTitle="Acct. 5490 Rev from Invest. Misc" prompt="Itemized revenue detail must be entered beginning at Line #64 below.  The amount for this account is auto-populated from below." sqref="L30:M30" xr:uid="{00000000-0002-0000-0800-000002000000}"/>
    <dataValidation allowBlank="1" showInputMessage="1" showErrorMessage="1" promptTitle="Acct. 5990 Misc. Revenue" prompt="Itemized revenue detail must be entered beginning at Line #69 below.  The amount for this account is auto-populated from below." sqref="L35:M35" xr:uid="{00000000-0002-0000-0800-000003000000}"/>
    <dataValidation allowBlank="1" showInputMessage="1" showErrorMessage="1" promptTitle="Acct. 6890 Misc. Financial Exp" prompt="Itemized expense detail must be entered beginning at Line #76 below.  The amount for this account is auto-populated from below." sqref="L46:M46" xr:uid="{00000000-0002-0000-0800-000004000000}"/>
    <dataValidation allowBlank="1" showInputMessage="1" showErrorMessage="1" promptTitle="Acct. 5190 Misc Rent Revenue" prompt="Provide expense description here; enter itemized amount at right. Expense descriptions should be intelligible, do not describe using &quot;Miscellaneous&quot; or &quot;Other&quot;._x000a_Total for this account will flow to Line #6 above." sqref="B73:F76" xr:uid="{00000000-0002-0000-0800-000005000000}"/>
    <dataValidation allowBlank="1" showInputMessage="1" showErrorMessage="1" promptTitle="Acct. 5190 Misc. Rent Revenue" prompt="Provide itemized amount here and description at left._x000a_Total for this account will flow to Line #6 above." sqref="G73:H76" xr:uid="{00000000-0002-0000-0800-000006000000}"/>
    <dataValidation allowBlank="1" showInputMessage="1" showErrorMessage="1" promptTitle="Acct. 5490 Rev from Inv Misc" prompt="Provide expense description here; enter itemized amount at right. Expense descriptions should be intelligible, do not describe using &quot;Miscellaneous&quot; or &quot;Other&quot;._x000a_Total for this account will flow to Line #18 above." sqref="B87:F90" xr:uid="{00000000-0002-0000-0800-000007000000}"/>
    <dataValidation allowBlank="1" showInputMessage="1" showErrorMessage="1" promptTitle="Acct. 5490 Rev from Inv Misc" prompt="Provide itemized amount here and description at left._x000a_Total for this account will flow to Line #18 above." sqref="G87:H90" xr:uid="{00000000-0002-0000-0800-000008000000}"/>
    <dataValidation allowBlank="1" showInputMessage="1" showErrorMessage="1" promptTitle="Acct. 5990 Misc. Revenue" prompt="Provide expense description here; enter itemized amount at right. Expense descriptions should be intelligible, do not describe using &quot;Miscellaneous&quot; or &quot;Other&quot;._x000a_Total for this account will flow to Line #22 above." sqref="B94:F99" xr:uid="{00000000-0002-0000-0800-000009000000}"/>
    <dataValidation allowBlank="1" showInputMessage="1" showErrorMessage="1" promptTitle="Acct. 5990 Misc. Revenue" prompt="Provide itemized amount here and description at left._x000a_Total for this account will flow to Line #22 above." sqref="G94:H99" xr:uid="{00000000-0002-0000-0800-00000A000000}"/>
    <dataValidation allowBlank="1" showInputMessage="1" showErrorMessage="1" promptTitle="Acct. 6890 Misc. Financial Exp" prompt="Provide expense description here; enter itemized amount at right. Expense descriptions should be intelligible, do not describe using &quot;Miscellaneous&quot; or &quot;Other&quot;._x000a_Total for this account will flow to Line #32 above." sqref="B103:F106" xr:uid="{00000000-0002-0000-0800-00000B000000}"/>
    <dataValidation allowBlank="1" showInputMessage="1" showErrorMessage="1" promptTitle="Acct. 6890 Misc. Financial Exp" prompt="Provide itemized amount here and description at left._x000a_Total for this account will flow to Line #32 above." sqref="G103:H106" xr:uid="{00000000-0002-0000-0800-00000C000000}"/>
    <dataValidation allowBlank="1" showInputMessage="1" showErrorMessage="1" promptTitle="Acct. 5390 Supportive Serv Rev" prompt="Itemized revenue detail must be entered beginning at Line #59 below.  The amount for this account is auto-populated from below." sqref="L27:M27" xr:uid="{00000000-0002-0000-0800-00000D000000}"/>
    <dataValidation allowBlank="1" showInputMessage="1" showErrorMessage="1" promptTitle="Acct. 5390 Supportive Serv Rev" prompt="Provide expense description here; enter itemized amount at right. Expense descriptions should be intelligible, do not describe using &quot;Miscellaneous&quot; or &quot;Other&quot;._x000a_Total for this account will flow to Line #16 above." sqref="B80:F83" xr:uid="{00000000-0002-0000-0800-00000E000000}"/>
    <dataValidation allowBlank="1" showInputMessage="1" showErrorMessage="1" promptTitle="Acct. 5390 Supportive Serv Rev" prompt="Provide itemized amount here and description at left._x000a_Total for this account will flow to Line #16 above." sqref="G80:H83" xr:uid="{00000000-0002-0000-0800-00000F000000}"/>
    <dataValidation allowBlank="1" showInputMessage="1" showErrorMessage="1" promptTitle="Acct. 5190 Misc. Rent Revenue" prompt="Provide itemized amount here and description at right._x000a_Total for this account will flow to Line #6 above." sqref="I73:J76" xr:uid="{00000000-0002-0000-0800-000010000000}"/>
    <dataValidation allowBlank="1" showInputMessage="1" showErrorMessage="1" promptTitle="Acct. 5190 Misc Rent Revenue" prompt="Provide expense description here; enter itemized amount at left. Expense descriptions should be intelligible, do not describe using &quot;Miscellaneous&quot; or &quot;Other&quot;._x000a_Total for this account will flow to Line #6 above." sqref="K73:O76" xr:uid="{00000000-0002-0000-0800-000011000000}"/>
    <dataValidation allowBlank="1" showInputMessage="1" showErrorMessage="1" promptTitle="Acct. 5390 Supportive Serv Rev" prompt="Provide itemized amount here and description at right._x000a_Total for this account will flow to Line #16 above." sqref="I80:J83" xr:uid="{00000000-0002-0000-0800-000012000000}"/>
    <dataValidation allowBlank="1" showInputMessage="1" showErrorMessage="1" promptTitle="Acct. 5390 Supportive Serv Rev" prompt="Provide expense description here; enter itemized amount at left. Expense descriptions should be intelligible, do not describe using &quot;Miscellaneous&quot; or &quot;Other&quot;._x000a_Total for this account will flow to Line #16 above." sqref="K80:O83" xr:uid="{00000000-0002-0000-0800-000013000000}"/>
    <dataValidation allowBlank="1" showInputMessage="1" showErrorMessage="1" promptTitle="Acct. 5490 Rev from Inv Misc" prompt="Provide itemized amount here and description at right._x000a_Total for this account will flow to Line #18 above." sqref="I87:J90" xr:uid="{00000000-0002-0000-0800-000014000000}"/>
    <dataValidation allowBlank="1" showInputMessage="1" showErrorMessage="1" promptTitle="Acct. 5490 Rev from Inv Misc" prompt="Provide expense description here; enter itemized amount at left. Expense descriptions should be intelligible, do not describe using &quot;Miscellaneous&quot; or &quot;Other&quot;._x000a_Total for this account will flow to Line #18 above." sqref="K87:O90" xr:uid="{00000000-0002-0000-0800-000015000000}"/>
    <dataValidation allowBlank="1" showInputMessage="1" showErrorMessage="1" promptTitle="Acct. 5990 Misc. Revenue" prompt="Provide itemized amount here and description at right._x000a_Total for this account will flow to Line #22 above." sqref="I94:J99" xr:uid="{00000000-0002-0000-0800-000016000000}"/>
    <dataValidation allowBlank="1" showInputMessage="1" showErrorMessage="1" promptTitle="Acct. 5990 Misc. Revenue" prompt="Provide expense description here; enter itemized amount at left. Expense descriptions should be intelligible, do not describe using &quot;Miscellaneous&quot; or &quot;Other&quot;._x000a_Total for this account will flow to Line #22 above." sqref="K94:O99" xr:uid="{00000000-0002-0000-0800-000017000000}"/>
    <dataValidation allowBlank="1" showInputMessage="1" showErrorMessage="1" promptTitle="Acct. 6890 Misc. Financial Exp" prompt="Provide itemized amount here and description at right._x000a_Total for this account will flow to Line #32 above." sqref="I103:J106" xr:uid="{00000000-0002-0000-0800-000018000000}"/>
    <dataValidation allowBlank="1" showInputMessage="1" showErrorMessage="1" promptTitle="Acct. 6890 Misc. Financial Exp" prompt="Provide expense description here; enter itemized amount at left. Expense descriptions should be intelligible, do not describe using &quot;Miscellaneous&quot; or &quot;Other&quot;._x000a_Total for this account will flow to Line #32 above." sqref="K103:O106" xr:uid="{00000000-0002-0000-0800-000019000000}"/>
  </dataValidations>
  <printOptions horizontalCentered="1"/>
  <pageMargins left="0.25" right="0.25" top="0.3" bottom="0.25" header="0" footer="0"/>
  <pageSetup scale="61" fitToHeight="2" orientation="landscape" r:id="rId1"/>
  <headerFooter>
    <oddHeader xml:space="preserve">&amp;L&amp;9STATE OF CALIFORNIA
</oddHeader>
    <oddFooter>&amp;C&amp;9Page &amp;P of &amp;N</oddFooter>
  </headerFooter>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459" r:id="rId4" name="Check Box 195">
              <controlPr locked="0" defaultSize="0" autoFill="0" autoLine="0" autoPict="0" altText="Checkbox is for HCD use only. _x000a_AMC Fiscal Representative will use checkbox to use Sponsor Actual Assisted Units Rent Revenue as HCD-Approved Actual Assisted Units Rent Revenue. ">
                <anchor moveWithCells="1">
                  <from>
                    <xdr:col>5</xdr:col>
                    <xdr:colOff>276225</xdr:colOff>
                    <xdr:row>8</xdr:row>
                    <xdr:rowOff>247650</xdr:rowOff>
                  </from>
                  <to>
                    <xdr:col>5</xdr:col>
                    <xdr:colOff>590550</xdr:colOff>
                    <xdr:row>9</xdr:row>
                    <xdr:rowOff>19050</xdr:rowOff>
                  </to>
                </anchor>
              </controlPr>
            </control>
          </mc:Choice>
        </mc:AlternateContent>
        <mc:AlternateContent xmlns:mc="http://schemas.openxmlformats.org/markup-compatibility/2006">
          <mc:Choice Requires="x14">
            <control shapeId="11461" r:id="rId5" name="Check Box 197">
              <controlPr locked="0" defaultSize="0" autoFill="0" autoLine="0" autoPict="0" altText="Checkbox is for HCD use only. _x000a_AMC Fiscal Representative will use checkbox to use Sponsor Actual Non-Assisted Units Rent Revenue as HCD-Approved Actual Non-Assisted Units Rent Revenue. ">
                <anchor moveWithCells="1">
                  <from>
                    <xdr:col>7</xdr:col>
                    <xdr:colOff>276225</xdr:colOff>
                    <xdr:row>8</xdr:row>
                    <xdr:rowOff>257175</xdr:rowOff>
                  </from>
                  <to>
                    <xdr:col>7</xdr:col>
                    <xdr:colOff>590550</xdr:colOff>
                    <xdr:row>9</xdr:row>
                    <xdr:rowOff>28575</xdr:rowOff>
                  </to>
                </anchor>
              </controlPr>
            </control>
          </mc:Choice>
        </mc:AlternateContent>
        <mc:AlternateContent xmlns:mc="http://schemas.openxmlformats.org/markup-compatibility/2006">
          <mc:Choice Requires="x14">
            <control shapeId="11463" r:id="rId6" name="Check Box 199">
              <controlPr locked="0" defaultSize="0" autoFill="0" autoLine="0" autoPict="0" altText="Checkbox is for HCD use only. _x000a_AMC Fiscal Representative will use checkbox to use Sponsor Actual Commercial Revenue and Expesnses as HCD-Approved Actual Commercial Revenue and Expenses. ">
                <anchor moveWithCells="1">
                  <from>
                    <xdr:col>9</xdr:col>
                    <xdr:colOff>276225</xdr:colOff>
                    <xdr:row>8</xdr:row>
                    <xdr:rowOff>247650</xdr:rowOff>
                  </from>
                  <to>
                    <xdr:col>9</xdr:col>
                    <xdr:colOff>590550</xdr:colOff>
                    <xdr:row>9</xdr:row>
                    <xdr:rowOff>19050</xdr:rowOff>
                  </to>
                </anchor>
              </controlPr>
            </control>
          </mc:Choice>
        </mc:AlternateContent>
        <mc:AlternateContent xmlns:mc="http://schemas.openxmlformats.org/markup-compatibility/2006">
          <mc:Choice Requires="x14">
            <control shapeId="11465" r:id="rId7" name="Check Box 201">
              <controlPr locked="0" defaultSize="0" autoFill="0" autoLine="0" autoPict="0" altText="Checkbox is for HCD use only. _x000a_AMC Fiscal Representative will use checkbox to use Sponsor Actual Project Total Revenue and Expenses as HCD-Approved Actual Project Total Revenue and Expenses. ">
                <anchor moveWithCells="1">
                  <from>
                    <xdr:col>12</xdr:col>
                    <xdr:colOff>276225</xdr:colOff>
                    <xdr:row>8</xdr:row>
                    <xdr:rowOff>257175</xdr:rowOff>
                  </from>
                  <to>
                    <xdr:col>12</xdr:col>
                    <xdr:colOff>590550</xdr:colOff>
                    <xdr:row>9</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9" tint="0.59999389629810485"/>
  </sheetPr>
  <dimension ref="A1:T125"/>
  <sheetViews>
    <sheetView showGridLines="0" zoomScaleNormal="100" workbookViewId="0">
      <pane ySplit="10" topLeftCell="A29" activePane="bottomLeft" state="frozen"/>
      <selection pane="bottomLeft" activeCell="T32" sqref="T32"/>
    </sheetView>
  </sheetViews>
  <sheetFormatPr defaultColWidth="0" defaultRowHeight="12.75" x14ac:dyDescent="0.2"/>
  <cols>
    <col min="1" max="1" width="3.140625" style="5" customWidth="1"/>
    <col min="2" max="2" width="17.28515625" style="4" customWidth="1"/>
    <col min="3" max="3" width="18.28515625" style="4" customWidth="1"/>
    <col min="4" max="4" width="6.140625" style="4" bestFit="1" customWidth="1"/>
    <col min="5" max="9" width="11" style="4" customWidth="1"/>
    <col min="10" max="10" width="11" style="5" customWidth="1"/>
    <col min="11" max="14" width="11" style="4" customWidth="1"/>
    <col min="15" max="15" width="6.5703125" style="4" customWidth="1"/>
    <col min="16" max="16" width="35.7109375" style="5" customWidth="1"/>
    <col min="17" max="18" width="0" style="4" hidden="1" customWidth="1"/>
    <col min="19" max="20" width="9.140625" style="4" customWidth="1"/>
    <col min="21" max="16384" width="9.140625" style="4" hidden="1"/>
  </cols>
  <sheetData>
    <row r="1" spans="1:18" ht="16.5" customHeight="1" x14ac:dyDescent="0.2">
      <c r="A1" s="637" t="s">
        <v>300</v>
      </c>
      <c r="B1" s="638"/>
      <c r="C1" s="638"/>
      <c r="D1" s="638"/>
      <c r="E1" s="638"/>
      <c r="F1" s="638"/>
      <c r="G1" s="638"/>
      <c r="H1" s="638"/>
      <c r="I1" s="638"/>
      <c r="J1" s="638"/>
      <c r="K1" s="638"/>
      <c r="L1" s="638"/>
      <c r="M1" s="638"/>
      <c r="N1" s="638"/>
      <c r="O1" s="638"/>
      <c r="P1" s="639"/>
    </row>
    <row r="2" spans="1:18" ht="15" customHeight="1" x14ac:dyDescent="0.2">
      <c r="A2" s="287"/>
      <c r="B2" s="423">
        <f>'1. Operating Budget Instruction'!K1</f>
        <v>45763</v>
      </c>
      <c r="C2" s="15"/>
      <c r="D2" s="15"/>
      <c r="E2" s="15"/>
      <c r="F2" s="15"/>
      <c r="G2" s="15"/>
      <c r="H2" s="216" t="s">
        <v>0</v>
      </c>
      <c r="I2" s="317" t="str">
        <f>IF(' 2. Checklist and Cert - 170'!D2="","",' 2. Checklist and Cert - 170'!D2)</f>
        <v/>
      </c>
      <c r="J2" s="288" t="s">
        <v>1</v>
      </c>
      <c r="K2" s="318" t="str">
        <f>IF(' 2. Checklist and Cert - 170'!F2="","",' 2. Checklist and Cert - 170'!F2)</f>
        <v/>
      </c>
      <c r="L2" s="289"/>
      <c r="M2" s="289"/>
      <c r="N2" s="15"/>
      <c r="O2" s="15"/>
      <c r="P2" s="287"/>
    </row>
    <row r="3" spans="1:18" ht="6.75" customHeight="1" x14ac:dyDescent="0.2">
      <c r="A3" s="287"/>
      <c r="B3" s="15"/>
      <c r="C3" s="290"/>
      <c r="D3" s="289"/>
      <c r="E3" s="289"/>
      <c r="F3" s="289"/>
      <c r="G3" s="291"/>
      <c r="H3" s="291"/>
      <c r="I3" s="289"/>
      <c r="J3" s="287"/>
      <c r="K3" s="289"/>
      <c r="L3" s="289"/>
      <c r="M3" s="289"/>
      <c r="N3" s="15"/>
      <c r="O3" s="15"/>
      <c r="P3" s="287"/>
    </row>
    <row r="4" spans="1:18" ht="15" customHeight="1" x14ac:dyDescent="0.2">
      <c r="A4" s="849" t="s">
        <v>2</v>
      </c>
      <c r="B4" s="849"/>
      <c r="C4" s="848" t="str">
        <f>IF(' 2. Checklist and Cert - 170'!D3="","",' 2. Checklist and Cert - 170'!D3)</f>
        <v/>
      </c>
      <c r="D4" s="848"/>
      <c r="E4" s="848"/>
      <c r="F4" s="774" t="s">
        <v>153</v>
      </c>
      <c r="G4" s="774"/>
      <c r="H4" s="928"/>
      <c r="I4" s="928"/>
      <c r="J4" s="774" t="str">
        <f>' 2. Checklist and Cert - 170'!A5</f>
        <v xml:space="preserve">1. HCD/CalHFA #:  </v>
      </c>
      <c r="K4" s="774"/>
      <c r="L4" s="848" t="str">
        <f>IF(' 2. Checklist and Cert - 170'!D5="","",' 2. Checklist and Cert - 170'!D5)</f>
        <v/>
      </c>
      <c r="M4" s="848"/>
      <c r="N4" s="774" t="str">
        <f>CONCATENATE(' 2. Checklist and Cert - 170'!M2," Units:")</f>
        <v>Assisted Units:</v>
      </c>
      <c r="O4" s="774"/>
      <c r="P4" s="229">
        <f>IF(' 2. Checklist and Cert - 170'!L2="",0,' 2. Checklist and Cert - 170'!L2)</f>
        <v>0</v>
      </c>
    </row>
    <row r="5" spans="1:18" ht="15" customHeight="1" x14ac:dyDescent="0.2">
      <c r="A5" s="849" t="s">
        <v>148</v>
      </c>
      <c r="B5" s="849"/>
      <c r="C5" s="830" t="str">
        <f>IF(' 2. Checklist and Cert - 170'!D4="","",' 2. Checklist and Cert - 170'!D4)</f>
        <v/>
      </c>
      <c r="D5" s="830"/>
      <c r="E5" s="830"/>
      <c r="F5" s="774" t="s">
        <v>154</v>
      </c>
      <c r="G5" s="774"/>
      <c r="H5" s="940"/>
      <c r="I5" s="940"/>
      <c r="J5" s="774" t="str">
        <f>' 2. Checklist and Cert - 170'!A6</f>
        <v xml:space="preserve">2. HCD/CalHFA #:  </v>
      </c>
      <c r="K5" s="774"/>
      <c r="L5" s="830" t="str">
        <f>IF(' 2. Checklist and Cert - 170'!D6="","",' 2. Checklist and Cert - 170'!D6)</f>
        <v/>
      </c>
      <c r="M5" s="830"/>
      <c r="N5" s="774" t="s">
        <v>149</v>
      </c>
      <c r="O5" s="774"/>
      <c r="P5" s="231">
        <f>IF(' 2. Checklist and Cert - 170'!L3="",0,' 2. Checklist and Cert - 170'!L3)</f>
        <v>0</v>
      </c>
    </row>
    <row r="6" spans="1:18" ht="15" customHeight="1" x14ac:dyDescent="0.2">
      <c r="A6" s="849" t="s">
        <v>3</v>
      </c>
      <c r="B6" s="849"/>
      <c r="C6" s="927"/>
      <c r="D6" s="927"/>
      <c r="E6" s="927"/>
      <c r="F6" s="774" t="s">
        <v>147</v>
      </c>
      <c r="G6" s="774"/>
      <c r="H6" s="929"/>
      <c r="I6" s="929"/>
      <c r="J6" s="774" t="str">
        <f>' 2. Checklist and Cert - 170'!A7</f>
        <v xml:space="preserve">3. HCD/CalHFA #:  </v>
      </c>
      <c r="K6" s="774"/>
      <c r="L6" s="830" t="str">
        <f>IF(' 2. Checklist and Cert - 170'!D7="","",' 2. Checklist and Cert - 170'!D7)</f>
        <v/>
      </c>
      <c r="M6" s="830"/>
      <c r="N6" s="774" t="s">
        <v>171</v>
      </c>
      <c r="O6" s="774"/>
      <c r="P6" s="292">
        <f>IF(' 2. Checklist and Cert - 170'!$L$5=0,' 2. Checklist and Cert - 170'!$L$4,' 2. Checklist and Cert - 170'!$L$5)</f>
        <v>0</v>
      </c>
    </row>
    <row r="7" spans="1:18" ht="13.15" customHeight="1" thickBot="1" x14ac:dyDescent="0.25">
      <c r="A7" s="286"/>
      <c r="B7" s="286"/>
      <c r="C7" s="293"/>
      <c r="D7" s="15"/>
      <c r="E7" s="15"/>
      <c r="F7" s="285"/>
      <c r="G7" s="285"/>
      <c r="H7" s="285"/>
      <c r="I7" s="294"/>
      <c r="J7" s="774" t="str">
        <f>' 2. Checklist and Cert - 170'!A8</f>
        <v xml:space="preserve">4. HCD/CalHFA #:  </v>
      </c>
      <c r="K7" s="774"/>
      <c r="L7" s="830" t="str">
        <f>IF(' 2. Checklist and Cert - 170'!D8="","",' 2. Checklist and Cert - 170'!D8)</f>
        <v/>
      </c>
      <c r="M7" s="830"/>
      <c r="N7" s="216"/>
      <c r="O7" s="295"/>
      <c r="P7" s="295"/>
    </row>
    <row r="8" spans="1:18" ht="24.75" customHeight="1" thickTop="1" x14ac:dyDescent="0.2">
      <c r="A8" s="913" t="s">
        <v>145</v>
      </c>
      <c r="B8" s="932" t="s">
        <v>60</v>
      </c>
      <c r="C8" s="933"/>
      <c r="D8" s="921" t="s">
        <v>215</v>
      </c>
      <c r="E8" s="926" t="str">
        <f>CONCATENATE(' 2. Checklist and Cert - 170'!$M$2," Units")</f>
        <v>Assisted Units</v>
      </c>
      <c r="F8" s="925" t="str">
        <f>CONCATENATE(' 2. Checklist and Cert - 170'!$M$2," Units")</f>
        <v>Assisted Units</v>
      </c>
      <c r="G8" s="924" t="str">
        <f>CONCATENATE("Non-",' 2. Checklist and Cert - 170'!$M$2," Units")</f>
        <v>Non-Assisted Units</v>
      </c>
      <c r="H8" s="925" t="str">
        <f>CONCATENATE("Non-",' 2. Checklist and Cert - 170'!$M$2," Units")</f>
        <v>Non-Assisted Units</v>
      </c>
      <c r="I8" s="924" t="s">
        <v>27</v>
      </c>
      <c r="J8" s="925"/>
      <c r="K8" s="924" t="s">
        <v>112</v>
      </c>
      <c r="L8" s="926"/>
      <c r="M8" s="925"/>
      <c r="N8" s="919" t="s">
        <v>305</v>
      </c>
      <c r="O8" s="920"/>
      <c r="P8" s="916" t="s">
        <v>303</v>
      </c>
    </row>
    <row r="9" spans="1:18" ht="13.5" customHeight="1" x14ac:dyDescent="0.2">
      <c r="A9" s="914"/>
      <c r="B9" s="934"/>
      <c r="C9" s="935"/>
      <c r="D9" s="922"/>
      <c r="E9" s="305" t="s">
        <v>43</v>
      </c>
      <c r="F9" s="144" t="s">
        <v>44</v>
      </c>
      <c r="G9" s="305" t="s">
        <v>45</v>
      </c>
      <c r="H9" s="144" t="s">
        <v>46</v>
      </c>
      <c r="I9" s="305" t="s">
        <v>48</v>
      </c>
      <c r="J9" s="144" t="s">
        <v>49</v>
      </c>
      <c r="K9" s="305" t="s">
        <v>50</v>
      </c>
      <c r="L9" s="477" t="s">
        <v>51</v>
      </c>
      <c r="M9" s="144" t="s">
        <v>52</v>
      </c>
      <c r="N9" s="298" t="s">
        <v>53</v>
      </c>
      <c r="O9" s="54" t="s">
        <v>54</v>
      </c>
      <c r="P9" s="917"/>
    </row>
    <row r="10" spans="1:18" ht="41.25" customHeight="1" x14ac:dyDescent="0.2">
      <c r="A10" s="915"/>
      <c r="B10" s="936"/>
      <c r="C10" s="937"/>
      <c r="D10" s="923"/>
      <c r="E10" s="299" t="s">
        <v>168</v>
      </c>
      <c r="F10" s="300" t="s">
        <v>308</v>
      </c>
      <c r="G10" s="299" t="s">
        <v>168</v>
      </c>
      <c r="H10" s="300" t="s">
        <v>308</v>
      </c>
      <c r="I10" s="299" t="s">
        <v>168</v>
      </c>
      <c r="J10" s="436" t="s">
        <v>308</v>
      </c>
      <c r="K10" s="299" t="s">
        <v>284</v>
      </c>
      <c r="L10" s="478" t="s">
        <v>168</v>
      </c>
      <c r="M10" s="436" t="s">
        <v>308</v>
      </c>
      <c r="N10" s="299" t="s">
        <v>111</v>
      </c>
      <c r="O10" s="300" t="s">
        <v>217</v>
      </c>
      <c r="P10" s="918"/>
      <c r="Q10" s="242" t="b">
        <v>0</v>
      </c>
      <c r="R10" s="242" t="b">
        <v>0</v>
      </c>
    </row>
    <row r="11" spans="1:18" ht="12.75" customHeight="1" x14ac:dyDescent="0.2">
      <c r="A11" s="248"/>
      <c r="B11" s="649" t="s">
        <v>77</v>
      </c>
      <c r="C11" s="800"/>
      <c r="D11" s="20"/>
      <c r="E11" s="195"/>
      <c r="F11" s="190"/>
      <c r="G11" s="186"/>
      <c r="H11" s="190"/>
      <c r="I11" s="13"/>
      <c r="J11" s="190"/>
      <c r="K11" s="13"/>
      <c r="L11" s="186"/>
      <c r="M11" s="190"/>
      <c r="N11" s="13"/>
      <c r="O11" s="152"/>
      <c r="P11" s="301"/>
    </row>
    <row r="12" spans="1:18" ht="12.75" customHeight="1" x14ac:dyDescent="0.2">
      <c r="A12" s="249">
        <v>1</v>
      </c>
      <c r="B12" s="644" t="s">
        <v>178</v>
      </c>
      <c r="C12" s="645"/>
      <c r="D12" s="20">
        <v>6203</v>
      </c>
      <c r="E12" s="195">
        <f>(L12-I12)*'7. Approved Proration - 175'!I12</f>
        <v>0</v>
      </c>
      <c r="F12" s="190">
        <f>(M12-J12)*'7. Approved Proration - 175'!I12</f>
        <v>0</v>
      </c>
      <c r="G12" s="186">
        <f t="shared" ref="G12:G26" si="0">L12-E12-I12</f>
        <v>0</v>
      </c>
      <c r="H12" s="190">
        <f t="shared" ref="H12:H26" si="1">M12-F12-J12</f>
        <v>0</v>
      </c>
      <c r="I12" s="439">
        <v>0</v>
      </c>
      <c r="J12" s="437">
        <f t="shared" ref="J12:J26" si="2">IF($Q$10=TRUE,I12,0)</f>
        <v>0</v>
      </c>
      <c r="K12" s="13">
        <f>'6. Approved Cost of Ops - 174 '!G12</f>
        <v>0</v>
      </c>
      <c r="L12" s="440">
        <v>0</v>
      </c>
      <c r="M12" s="438">
        <f t="shared" ref="M12:M25" si="3">IF($R$10=TRUE,L12,0)</f>
        <v>0</v>
      </c>
      <c r="N12" s="13">
        <f t="shared" ref="N12:N26" si="4">+K12-M12</f>
        <v>0</v>
      </c>
      <c r="O12" s="152">
        <f t="shared" ref="O12:O27" si="5">IF(AND(K12=0,M12&lt;&gt;0),"NA",IF(N12&lt;0,-N12/K12,0))</f>
        <v>0</v>
      </c>
      <c r="P12" s="418"/>
    </row>
    <row r="13" spans="1:18" ht="12.75" customHeight="1" x14ac:dyDescent="0.2">
      <c r="A13" s="249">
        <v>2</v>
      </c>
      <c r="B13" s="644" t="s">
        <v>179</v>
      </c>
      <c r="C13" s="645"/>
      <c r="D13" s="20">
        <v>6204</v>
      </c>
      <c r="E13" s="195">
        <f>(L13-I13)*'7. Approved Proration - 175'!I13</f>
        <v>0</v>
      </c>
      <c r="F13" s="190">
        <f>(M13-J13)*'7. Approved Proration - 175'!I13</f>
        <v>0</v>
      </c>
      <c r="G13" s="186">
        <f t="shared" si="0"/>
        <v>0</v>
      </c>
      <c r="H13" s="190">
        <f t="shared" si="1"/>
        <v>0</v>
      </c>
      <c r="I13" s="439">
        <v>0</v>
      </c>
      <c r="J13" s="437">
        <f t="shared" si="2"/>
        <v>0</v>
      </c>
      <c r="K13" s="13">
        <f>'6. Approved Cost of Ops - 174 '!G13</f>
        <v>0</v>
      </c>
      <c r="L13" s="440">
        <v>0</v>
      </c>
      <c r="M13" s="438">
        <f t="shared" si="3"/>
        <v>0</v>
      </c>
      <c r="N13" s="13">
        <f t="shared" si="4"/>
        <v>0</v>
      </c>
      <c r="O13" s="152">
        <f t="shared" si="5"/>
        <v>0</v>
      </c>
      <c r="P13" s="418"/>
    </row>
    <row r="14" spans="1:18" ht="12.75" customHeight="1" x14ac:dyDescent="0.2">
      <c r="A14" s="249">
        <v>3</v>
      </c>
      <c r="B14" s="644" t="s">
        <v>180</v>
      </c>
      <c r="C14" s="645"/>
      <c r="D14" s="20">
        <v>6210</v>
      </c>
      <c r="E14" s="195">
        <f>(L14-I14)*'7. Approved Proration - 175'!I14</f>
        <v>0</v>
      </c>
      <c r="F14" s="190">
        <f>(M14-J14)*'7. Approved Proration - 175'!I14</f>
        <v>0</v>
      </c>
      <c r="G14" s="186">
        <f t="shared" si="0"/>
        <v>0</v>
      </c>
      <c r="H14" s="190">
        <f t="shared" si="1"/>
        <v>0</v>
      </c>
      <c r="I14" s="439">
        <v>0</v>
      </c>
      <c r="J14" s="437">
        <f t="shared" si="2"/>
        <v>0</v>
      </c>
      <c r="K14" s="13">
        <f>'6. Approved Cost of Ops - 174 '!G14</f>
        <v>0</v>
      </c>
      <c r="L14" s="440">
        <v>0</v>
      </c>
      <c r="M14" s="437">
        <f t="shared" si="3"/>
        <v>0</v>
      </c>
      <c r="N14" s="13">
        <f t="shared" si="4"/>
        <v>0</v>
      </c>
      <c r="O14" s="152">
        <f t="shared" si="5"/>
        <v>0</v>
      </c>
      <c r="P14" s="418"/>
    </row>
    <row r="15" spans="1:18" ht="12.75" customHeight="1" x14ac:dyDescent="0.2">
      <c r="A15" s="249">
        <v>4</v>
      </c>
      <c r="B15" s="644" t="s">
        <v>4</v>
      </c>
      <c r="C15" s="645"/>
      <c r="D15" s="20">
        <v>6250</v>
      </c>
      <c r="E15" s="195">
        <f>(L15-I15)*'7. Approved Proration - 175'!I15</f>
        <v>0</v>
      </c>
      <c r="F15" s="190">
        <f>(M15-J15)*'7. Approved Proration - 175'!I15</f>
        <v>0</v>
      </c>
      <c r="G15" s="186">
        <f t="shared" si="0"/>
        <v>0</v>
      </c>
      <c r="H15" s="190">
        <f t="shared" si="1"/>
        <v>0</v>
      </c>
      <c r="I15" s="439">
        <v>0</v>
      </c>
      <c r="J15" s="437">
        <f t="shared" si="2"/>
        <v>0</v>
      </c>
      <c r="K15" s="13">
        <f>'6. Approved Cost of Ops - 174 '!G15</f>
        <v>0</v>
      </c>
      <c r="L15" s="440">
        <v>0</v>
      </c>
      <c r="M15" s="437">
        <f t="shared" si="3"/>
        <v>0</v>
      </c>
      <c r="N15" s="13">
        <f t="shared" si="4"/>
        <v>0</v>
      </c>
      <c r="O15" s="152">
        <f t="shared" si="5"/>
        <v>0</v>
      </c>
      <c r="P15" s="418"/>
    </row>
    <row r="16" spans="1:18" ht="12.75" customHeight="1" x14ac:dyDescent="0.2">
      <c r="A16" s="249">
        <v>5</v>
      </c>
      <c r="B16" s="644" t="s">
        <v>5</v>
      </c>
      <c r="C16" s="645"/>
      <c r="D16" s="20">
        <v>6310</v>
      </c>
      <c r="E16" s="195">
        <f>(L16-I16)*'7. Approved Proration - 175'!I16</f>
        <v>0</v>
      </c>
      <c r="F16" s="190">
        <f>(M16-J16)*'7. Approved Proration - 175'!I16</f>
        <v>0</v>
      </c>
      <c r="G16" s="186">
        <f t="shared" si="0"/>
        <v>0</v>
      </c>
      <c r="H16" s="190">
        <f t="shared" si="1"/>
        <v>0</v>
      </c>
      <c r="I16" s="439">
        <v>0</v>
      </c>
      <c r="J16" s="437">
        <f t="shared" si="2"/>
        <v>0</v>
      </c>
      <c r="K16" s="13">
        <f>'6. Approved Cost of Ops - 174 '!G16</f>
        <v>0</v>
      </c>
      <c r="L16" s="440">
        <v>0</v>
      </c>
      <c r="M16" s="437">
        <f t="shared" si="3"/>
        <v>0</v>
      </c>
      <c r="N16" s="13">
        <f t="shared" si="4"/>
        <v>0</v>
      </c>
      <c r="O16" s="152">
        <f t="shared" si="5"/>
        <v>0</v>
      </c>
      <c r="P16" s="418"/>
    </row>
    <row r="17" spans="1:16" ht="12.75" customHeight="1" x14ac:dyDescent="0.2">
      <c r="A17" s="249">
        <v>6</v>
      </c>
      <c r="B17" s="644" t="s">
        <v>181</v>
      </c>
      <c r="C17" s="645"/>
      <c r="D17" s="20">
        <v>6311</v>
      </c>
      <c r="E17" s="195">
        <f>(L17-I17)*'7. Approved Proration - 175'!I17</f>
        <v>0</v>
      </c>
      <c r="F17" s="190">
        <f>(M17-J17)*'7. Approved Proration - 175'!I17</f>
        <v>0</v>
      </c>
      <c r="G17" s="186">
        <f t="shared" si="0"/>
        <v>0</v>
      </c>
      <c r="H17" s="190">
        <f t="shared" si="1"/>
        <v>0</v>
      </c>
      <c r="I17" s="439">
        <v>0</v>
      </c>
      <c r="J17" s="437">
        <f t="shared" si="2"/>
        <v>0</v>
      </c>
      <c r="K17" s="13">
        <f>'6. Approved Cost of Ops - 174 '!G17</f>
        <v>0</v>
      </c>
      <c r="L17" s="440">
        <v>0</v>
      </c>
      <c r="M17" s="437">
        <f t="shared" si="3"/>
        <v>0</v>
      </c>
      <c r="N17" s="13">
        <f t="shared" si="4"/>
        <v>0</v>
      </c>
      <c r="O17" s="152">
        <f t="shared" si="5"/>
        <v>0</v>
      </c>
      <c r="P17" s="418"/>
    </row>
    <row r="18" spans="1:16" ht="12.75" customHeight="1" x14ac:dyDescent="0.2">
      <c r="A18" s="249">
        <v>7</v>
      </c>
      <c r="B18" s="583" t="s">
        <v>6</v>
      </c>
      <c r="C18" s="583"/>
      <c r="D18" s="20">
        <v>6312</v>
      </c>
      <c r="E18" s="195">
        <f>(L18-I18)*'7. Approved Proration - 175'!I18</f>
        <v>0</v>
      </c>
      <c r="F18" s="190">
        <f>(M18-J18)*'7. Approved Proration - 175'!I18</f>
        <v>0</v>
      </c>
      <c r="G18" s="186">
        <f t="shared" si="0"/>
        <v>0</v>
      </c>
      <c r="H18" s="190">
        <f t="shared" si="1"/>
        <v>0</v>
      </c>
      <c r="I18" s="439">
        <v>0</v>
      </c>
      <c r="J18" s="437">
        <f t="shared" si="2"/>
        <v>0</v>
      </c>
      <c r="K18" s="13">
        <f>'6. Approved Cost of Ops - 174 '!G18</f>
        <v>0</v>
      </c>
      <c r="L18" s="440">
        <v>0</v>
      </c>
      <c r="M18" s="437">
        <f t="shared" si="3"/>
        <v>0</v>
      </c>
      <c r="N18" s="13">
        <f t="shared" si="4"/>
        <v>0</v>
      </c>
      <c r="O18" s="152">
        <f t="shared" si="5"/>
        <v>0</v>
      </c>
      <c r="P18" s="418"/>
    </row>
    <row r="19" spans="1:16" ht="12.75" customHeight="1" x14ac:dyDescent="0.2">
      <c r="A19" s="249">
        <v>8</v>
      </c>
      <c r="B19" s="583" t="s">
        <v>252</v>
      </c>
      <c r="C19" s="583"/>
      <c r="D19" s="20">
        <v>6320</v>
      </c>
      <c r="E19" s="195">
        <f>(L19-I19)*'7. Approved Proration - 175'!I19</f>
        <v>0</v>
      </c>
      <c r="F19" s="190">
        <f>(M19-J19)*'7. Approved Proration - 175'!I19</f>
        <v>0</v>
      </c>
      <c r="G19" s="186">
        <f t="shared" si="0"/>
        <v>0</v>
      </c>
      <c r="H19" s="190">
        <f t="shared" si="1"/>
        <v>0</v>
      </c>
      <c r="I19" s="439">
        <v>0</v>
      </c>
      <c r="J19" s="437">
        <f t="shared" si="2"/>
        <v>0</v>
      </c>
      <c r="K19" s="13">
        <f>'6. Approved Cost of Ops - 174 '!G19</f>
        <v>0</v>
      </c>
      <c r="L19" s="440">
        <v>0</v>
      </c>
      <c r="M19" s="437">
        <f t="shared" si="3"/>
        <v>0</v>
      </c>
      <c r="N19" s="13">
        <f t="shared" si="4"/>
        <v>0</v>
      </c>
      <c r="O19" s="152">
        <f t="shared" si="5"/>
        <v>0</v>
      </c>
      <c r="P19" s="418"/>
    </row>
    <row r="20" spans="1:16" ht="12.75" customHeight="1" x14ac:dyDescent="0.2">
      <c r="A20" s="249">
        <v>9</v>
      </c>
      <c r="B20" s="644" t="s">
        <v>7</v>
      </c>
      <c r="C20" s="645"/>
      <c r="D20" s="20">
        <v>6330</v>
      </c>
      <c r="E20" s="195">
        <f>(L20-I20)*'7. Approved Proration - 175'!I20</f>
        <v>0</v>
      </c>
      <c r="F20" s="190">
        <f>(M20-J20)*'7. Approved Proration - 175'!I20</f>
        <v>0</v>
      </c>
      <c r="G20" s="186">
        <f t="shared" si="0"/>
        <v>0</v>
      </c>
      <c r="H20" s="190">
        <f t="shared" si="1"/>
        <v>0</v>
      </c>
      <c r="I20" s="439">
        <v>0</v>
      </c>
      <c r="J20" s="437">
        <f t="shared" si="2"/>
        <v>0</v>
      </c>
      <c r="K20" s="13">
        <f>'6. Approved Cost of Ops - 174 '!G20</f>
        <v>0</v>
      </c>
      <c r="L20" s="440">
        <v>0</v>
      </c>
      <c r="M20" s="437">
        <f t="shared" si="3"/>
        <v>0</v>
      </c>
      <c r="N20" s="13">
        <f t="shared" si="4"/>
        <v>0</v>
      </c>
      <c r="O20" s="152">
        <f t="shared" si="5"/>
        <v>0</v>
      </c>
      <c r="P20" s="418"/>
    </row>
    <row r="21" spans="1:16" ht="12.75" customHeight="1" x14ac:dyDescent="0.2">
      <c r="A21" s="249">
        <v>10</v>
      </c>
      <c r="B21" s="644" t="s">
        <v>183</v>
      </c>
      <c r="C21" s="645"/>
      <c r="D21" s="20">
        <v>6331</v>
      </c>
      <c r="E21" s="195">
        <f>(L21-I21)*'7. Approved Proration - 175'!I21</f>
        <v>0</v>
      </c>
      <c r="F21" s="190">
        <f>(M21-J21)*'7. Approved Proration - 175'!I21</f>
        <v>0</v>
      </c>
      <c r="G21" s="186">
        <f t="shared" si="0"/>
        <v>0</v>
      </c>
      <c r="H21" s="190">
        <f t="shared" si="1"/>
        <v>0</v>
      </c>
      <c r="I21" s="439">
        <v>0</v>
      </c>
      <c r="J21" s="437">
        <f t="shared" si="2"/>
        <v>0</v>
      </c>
      <c r="K21" s="13">
        <f>'6. Approved Cost of Ops - 174 '!G21</f>
        <v>0</v>
      </c>
      <c r="L21" s="440">
        <v>0</v>
      </c>
      <c r="M21" s="437">
        <f t="shared" si="3"/>
        <v>0</v>
      </c>
      <c r="N21" s="13">
        <f t="shared" si="4"/>
        <v>0</v>
      </c>
      <c r="O21" s="152">
        <f t="shared" si="5"/>
        <v>0</v>
      </c>
      <c r="P21" s="418"/>
    </row>
    <row r="22" spans="1:16" ht="12.75" customHeight="1" x14ac:dyDescent="0.2">
      <c r="A22" s="249">
        <v>11</v>
      </c>
      <c r="B22" s="644" t="s">
        <v>8</v>
      </c>
      <c r="C22" s="645"/>
      <c r="D22" s="20">
        <v>6340</v>
      </c>
      <c r="E22" s="195">
        <f>(L22-I22)*'7. Approved Proration - 175'!I22</f>
        <v>0</v>
      </c>
      <c r="F22" s="190">
        <f>(M22-J22)*'7. Approved Proration - 175'!I22</f>
        <v>0</v>
      </c>
      <c r="G22" s="186">
        <f t="shared" si="0"/>
        <v>0</v>
      </c>
      <c r="H22" s="190">
        <f t="shared" si="1"/>
        <v>0</v>
      </c>
      <c r="I22" s="439">
        <v>0</v>
      </c>
      <c r="J22" s="437">
        <f t="shared" si="2"/>
        <v>0</v>
      </c>
      <c r="K22" s="13">
        <f>'6. Approved Cost of Ops - 174 '!G22</f>
        <v>0</v>
      </c>
      <c r="L22" s="440">
        <v>0</v>
      </c>
      <c r="M22" s="437">
        <f t="shared" si="3"/>
        <v>0</v>
      </c>
      <c r="N22" s="13">
        <f t="shared" si="4"/>
        <v>0</v>
      </c>
      <c r="O22" s="152">
        <f t="shared" si="5"/>
        <v>0</v>
      </c>
      <c r="P22" s="418"/>
    </row>
    <row r="23" spans="1:16" ht="12.75" customHeight="1" x14ac:dyDescent="0.2">
      <c r="A23" s="249">
        <v>12</v>
      </c>
      <c r="B23" s="644" t="s">
        <v>184</v>
      </c>
      <c r="C23" s="645"/>
      <c r="D23" s="20">
        <v>6350</v>
      </c>
      <c r="E23" s="195">
        <f>(L23-I23)*'7. Approved Proration - 175'!I23</f>
        <v>0</v>
      </c>
      <c r="F23" s="190">
        <f>(M23-J23)*'7. Approved Proration - 175'!I23</f>
        <v>0</v>
      </c>
      <c r="G23" s="186">
        <f t="shared" si="0"/>
        <v>0</v>
      </c>
      <c r="H23" s="190">
        <f t="shared" si="1"/>
        <v>0</v>
      </c>
      <c r="I23" s="439">
        <v>0</v>
      </c>
      <c r="J23" s="437">
        <f t="shared" si="2"/>
        <v>0</v>
      </c>
      <c r="K23" s="13">
        <f>'6. Approved Cost of Ops - 174 '!G23</f>
        <v>0</v>
      </c>
      <c r="L23" s="440">
        <v>0</v>
      </c>
      <c r="M23" s="437">
        <f t="shared" si="3"/>
        <v>0</v>
      </c>
      <c r="N23" s="13">
        <f t="shared" si="4"/>
        <v>0</v>
      </c>
      <c r="O23" s="152">
        <f t="shared" si="5"/>
        <v>0</v>
      </c>
      <c r="P23" s="418"/>
    </row>
    <row r="24" spans="1:16" ht="12.75" customHeight="1" x14ac:dyDescent="0.2">
      <c r="A24" s="249">
        <v>13</v>
      </c>
      <c r="B24" s="644" t="s">
        <v>185</v>
      </c>
      <c r="C24" s="645"/>
      <c r="D24" s="20">
        <v>6351</v>
      </c>
      <c r="E24" s="195">
        <f>(L24-I24)*'7. Approved Proration - 175'!I24</f>
        <v>0</v>
      </c>
      <c r="F24" s="190">
        <f>(M24-J24)*'7. Approved Proration - 175'!I24</f>
        <v>0</v>
      </c>
      <c r="G24" s="186">
        <f t="shared" si="0"/>
        <v>0</v>
      </c>
      <c r="H24" s="190">
        <f t="shared" si="1"/>
        <v>0</v>
      </c>
      <c r="I24" s="439">
        <v>0</v>
      </c>
      <c r="J24" s="437">
        <f t="shared" si="2"/>
        <v>0</v>
      </c>
      <c r="K24" s="13">
        <f>'6. Approved Cost of Ops - 174 '!G24</f>
        <v>0</v>
      </c>
      <c r="L24" s="440">
        <v>0</v>
      </c>
      <c r="M24" s="437">
        <f t="shared" si="3"/>
        <v>0</v>
      </c>
      <c r="N24" s="13">
        <f t="shared" si="4"/>
        <v>0</v>
      </c>
      <c r="O24" s="152">
        <f t="shared" si="5"/>
        <v>0</v>
      </c>
      <c r="P24" s="418"/>
    </row>
    <row r="25" spans="1:16" ht="12.75" customHeight="1" x14ac:dyDescent="0.2">
      <c r="A25" s="249">
        <v>14</v>
      </c>
      <c r="B25" s="644" t="s">
        <v>186</v>
      </c>
      <c r="C25" s="645"/>
      <c r="D25" s="20">
        <v>6370</v>
      </c>
      <c r="E25" s="195">
        <f>(L25-I25)*'7. Approved Proration - 175'!I25</f>
        <v>0</v>
      </c>
      <c r="F25" s="190">
        <f>(M25-J25)*'7. Approved Proration - 175'!I25</f>
        <v>0</v>
      </c>
      <c r="G25" s="186">
        <f t="shared" si="0"/>
        <v>0</v>
      </c>
      <c r="H25" s="190">
        <f t="shared" si="1"/>
        <v>0</v>
      </c>
      <c r="I25" s="439">
        <v>0</v>
      </c>
      <c r="J25" s="437">
        <f t="shared" si="2"/>
        <v>0</v>
      </c>
      <c r="K25" s="13">
        <f>'6. Approved Cost of Ops - 174 '!G25</f>
        <v>0</v>
      </c>
      <c r="L25" s="440">
        <v>0</v>
      </c>
      <c r="M25" s="437">
        <f t="shared" si="3"/>
        <v>0</v>
      </c>
      <c r="N25" s="13">
        <f t="shared" si="4"/>
        <v>0</v>
      </c>
      <c r="O25" s="152">
        <f t="shared" si="5"/>
        <v>0</v>
      </c>
      <c r="P25" s="418"/>
    </row>
    <row r="26" spans="1:16" ht="12.75" customHeight="1" x14ac:dyDescent="0.2">
      <c r="A26" s="249">
        <v>15</v>
      </c>
      <c r="B26" s="818" t="s">
        <v>221</v>
      </c>
      <c r="C26" s="795"/>
      <c r="D26" s="20">
        <v>6390</v>
      </c>
      <c r="E26" s="195">
        <f>(L26-I26)*'7. Approved Proration - 175'!I26</f>
        <v>0</v>
      </c>
      <c r="F26" s="190">
        <f>(M26-J26)*'7. Approved Proration - 175'!I26</f>
        <v>0</v>
      </c>
      <c r="G26" s="186">
        <f t="shared" si="0"/>
        <v>0</v>
      </c>
      <c r="H26" s="190">
        <f t="shared" si="1"/>
        <v>0</v>
      </c>
      <c r="I26" s="439">
        <v>0</v>
      </c>
      <c r="J26" s="437">
        <f t="shared" si="2"/>
        <v>0</v>
      </c>
      <c r="K26" s="13">
        <f>'6. Approved Cost of Ops - 174 '!G26</f>
        <v>0</v>
      </c>
      <c r="L26" s="186">
        <f>G86</f>
        <v>0</v>
      </c>
      <c r="M26" s="190">
        <f>I86</f>
        <v>0</v>
      </c>
      <c r="N26" s="13">
        <f t="shared" si="4"/>
        <v>0</v>
      </c>
      <c r="O26" s="152">
        <f t="shared" si="5"/>
        <v>0</v>
      </c>
      <c r="P26" s="418"/>
    </row>
    <row r="27" spans="1:16" ht="12.75" customHeight="1" x14ac:dyDescent="0.2">
      <c r="A27" s="250">
        <v>16</v>
      </c>
      <c r="B27" s="699" t="s">
        <v>79</v>
      </c>
      <c r="C27" s="669"/>
      <c r="D27" s="53" t="s">
        <v>78</v>
      </c>
      <c r="E27" s="196">
        <f t="shared" ref="E27:N27" si="6">SUM(E12:E26)</f>
        <v>0</v>
      </c>
      <c r="F27" s="191">
        <f t="shared" si="6"/>
        <v>0</v>
      </c>
      <c r="G27" s="181">
        <f t="shared" si="6"/>
        <v>0</v>
      </c>
      <c r="H27" s="191">
        <f t="shared" si="6"/>
        <v>0</v>
      </c>
      <c r="I27" s="7">
        <f t="shared" si="6"/>
        <v>0</v>
      </c>
      <c r="J27" s="191">
        <f t="shared" si="6"/>
        <v>0</v>
      </c>
      <c r="K27" s="7">
        <f t="shared" si="6"/>
        <v>0</v>
      </c>
      <c r="L27" s="181">
        <f t="shared" si="6"/>
        <v>0</v>
      </c>
      <c r="M27" s="191">
        <f t="shared" si="6"/>
        <v>0</v>
      </c>
      <c r="N27" s="181">
        <f t="shared" si="6"/>
        <v>0</v>
      </c>
      <c r="O27" s="153">
        <f t="shared" si="5"/>
        <v>0</v>
      </c>
      <c r="P27" s="418"/>
    </row>
    <row r="28" spans="1:16" ht="12.75" customHeight="1" x14ac:dyDescent="0.2">
      <c r="A28" s="249"/>
      <c r="B28" s="649" t="s">
        <v>80</v>
      </c>
      <c r="C28" s="800"/>
      <c r="D28" s="20"/>
      <c r="E28" s="197"/>
      <c r="F28" s="192"/>
      <c r="G28" s="187"/>
      <c r="H28" s="192"/>
      <c r="I28" s="18"/>
      <c r="J28" s="192"/>
      <c r="K28" s="18"/>
      <c r="L28" s="187"/>
      <c r="M28" s="192"/>
      <c r="N28" s="18"/>
      <c r="O28" s="303"/>
      <c r="P28" s="302"/>
    </row>
    <row r="29" spans="1:16" ht="12.75" customHeight="1" x14ac:dyDescent="0.2">
      <c r="A29" s="249">
        <v>17</v>
      </c>
      <c r="B29" s="644" t="s">
        <v>9</v>
      </c>
      <c r="C29" s="645"/>
      <c r="D29" s="20">
        <v>6450</v>
      </c>
      <c r="E29" s="195">
        <f>(L29-I29)*'7. Approved Proration - 175'!I29</f>
        <v>0</v>
      </c>
      <c r="F29" s="190">
        <f>(M29-J29)*'7. Approved Proration - 175'!I29</f>
        <v>0</v>
      </c>
      <c r="G29" s="186">
        <f t="shared" ref="G29:H32" si="7">L29-E29-I29</f>
        <v>0</v>
      </c>
      <c r="H29" s="190">
        <f t="shared" si="7"/>
        <v>0</v>
      </c>
      <c r="I29" s="439">
        <v>0</v>
      </c>
      <c r="J29" s="437">
        <f>IF($Q$10=TRUE,I29,0)</f>
        <v>0</v>
      </c>
      <c r="K29" s="13">
        <f>'6. Approved Cost of Ops - 174 '!G29</f>
        <v>0</v>
      </c>
      <c r="L29" s="440">
        <v>0</v>
      </c>
      <c r="M29" s="437">
        <f>IF($R$10=TRUE,L29,0)</f>
        <v>0</v>
      </c>
      <c r="N29" s="13">
        <f>+K29-M29</f>
        <v>0</v>
      </c>
      <c r="O29" s="152">
        <f>IF(AND(K29=0,M29&lt;&gt;0),"NA",IF(N29&lt;0,-N29/K29,0))</f>
        <v>0</v>
      </c>
      <c r="P29" s="418"/>
    </row>
    <row r="30" spans="1:16" ht="12.75" customHeight="1" x14ac:dyDescent="0.2">
      <c r="A30" s="249">
        <v>18</v>
      </c>
      <c r="B30" s="644" t="s">
        <v>10</v>
      </c>
      <c r="C30" s="645"/>
      <c r="D30" s="20">
        <v>6451</v>
      </c>
      <c r="E30" s="195">
        <f>(L30-I30)*'7. Approved Proration - 175'!I30</f>
        <v>0</v>
      </c>
      <c r="F30" s="190">
        <f>(M30-J30)*'7. Approved Proration - 175'!I30</f>
        <v>0</v>
      </c>
      <c r="G30" s="186">
        <f t="shared" si="7"/>
        <v>0</v>
      </c>
      <c r="H30" s="190">
        <f t="shared" si="7"/>
        <v>0</v>
      </c>
      <c r="I30" s="439">
        <v>0</v>
      </c>
      <c r="J30" s="437">
        <f>IF($Q$10=TRUE,I30,0)</f>
        <v>0</v>
      </c>
      <c r="K30" s="13">
        <f>'6. Approved Cost of Ops - 174 '!G30</f>
        <v>0</v>
      </c>
      <c r="L30" s="440">
        <v>0</v>
      </c>
      <c r="M30" s="437">
        <f>IF($R$10=TRUE,L30,0)</f>
        <v>0</v>
      </c>
      <c r="N30" s="13">
        <f>+K30-M30</f>
        <v>0</v>
      </c>
      <c r="O30" s="152">
        <f>IF(AND(K30=0,M30&lt;&gt;0),"NA",IF(N30&lt;0,-N30/K30,0))</f>
        <v>0</v>
      </c>
      <c r="P30" s="418"/>
    </row>
    <row r="31" spans="1:16" ht="12.75" customHeight="1" x14ac:dyDescent="0.2">
      <c r="A31" s="249">
        <v>19</v>
      </c>
      <c r="B31" s="644" t="s">
        <v>11</v>
      </c>
      <c r="C31" s="645"/>
      <c r="D31" s="20">
        <v>6452</v>
      </c>
      <c r="E31" s="195">
        <f>(L31-I31)*'7. Approved Proration - 175'!I31</f>
        <v>0</v>
      </c>
      <c r="F31" s="190">
        <f>(M31-J31)*'7. Approved Proration - 175'!I31</f>
        <v>0</v>
      </c>
      <c r="G31" s="186">
        <f t="shared" si="7"/>
        <v>0</v>
      </c>
      <c r="H31" s="190">
        <f t="shared" si="7"/>
        <v>0</v>
      </c>
      <c r="I31" s="439">
        <v>0</v>
      </c>
      <c r="J31" s="437">
        <f>IF($Q$10=TRUE,I31,0)</f>
        <v>0</v>
      </c>
      <c r="K31" s="13">
        <f>'6. Approved Cost of Ops - 174 '!G31</f>
        <v>0</v>
      </c>
      <c r="L31" s="440">
        <v>0</v>
      </c>
      <c r="M31" s="437">
        <f>IF($R$10=TRUE,L31,0)</f>
        <v>0</v>
      </c>
      <c r="N31" s="13">
        <f>+K31-M31</f>
        <v>0</v>
      </c>
      <c r="O31" s="152">
        <f>IF(AND(K31=0,M31&lt;&gt;0),"NA",IF(N31&lt;0,-N31/K31,0))</f>
        <v>0</v>
      </c>
      <c r="P31" s="418"/>
    </row>
    <row r="32" spans="1:16" ht="12.75" customHeight="1" x14ac:dyDescent="0.2">
      <c r="A32" s="249">
        <v>20</v>
      </c>
      <c r="B32" s="644" t="s">
        <v>12</v>
      </c>
      <c r="C32" s="645"/>
      <c r="D32" s="20">
        <v>6453</v>
      </c>
      <c r="E32" s="195">
        <f>(L32-I32)*'7. Approved Proration - 175'!I32</f>
        <v>0</v>
      </c>
      <c r="F32" s="190">
        <f>(M32-J32)*'7. Approved Proration - 175'!I32</f>
        <v>0</v>
      </c>
      <c r="G32" s="186">
        <f t="shared" si="7"/>
        <v>0</v>
      </c>
      <c r="H32" s="190">
        <f t="shared" si="7"/>
        <v>0</v>
      </c>
      <c r="I32" s="439">
        <v>0</v>
      </c>
      <c r="J32" s="437">
        <f>IF($Q$10=TRUE,I32,0)</f>
        <v>0</v>
      </c>
      <c r="K32" s="13">
        <f>'6. Approved Cost of Ops - 174 '!G32</f>
        <v>0</v>
      </c>
      <c r="L32" s="440">
        <v>0</v>
      </c>
      <c r="M32" s="437">
        <f>IF($R$10=TRUE,L32,0)</f>
        <v>0</v>
      </c>
      <c r="N32" s="13">
        <f>+K32-M32</f>
        <v>0</v>
      </c>
      <c r="O32" s="152">
        <f>IF(AND(K32=0,M32&lt;&gt;0),"NA",IF(N32&lt;0,-N32/K32,0))</f>
        <v>0</v>
      </c>
      <c r="P32" s="418"/>
    </row>
    <row r="33" spans="1:16" ht="12.75" customHeight="1" x14ac:dyDescent="0.2">
      <c r="A33" s="249">
        <v>21</v>
      </c>
      <c r="B33" s="699" t="s">
        <v>91</v>
      </c>
      <c r="C33" s="669"/>
      <c r="D33" s="53" t="s">
        <v>13</v>
      </c>
      <c r="E33" s="196">
        <f t="shared" ref="E33:N33" si="8">SUM(E29:E32)</f>
        <v>0</v>
      </c>
      <c r="F33" s="191">
        <f t="shared" si="8"/>
        <v>0</v>
      </c>
      <c r="G33" s="181">
        <f t="shared" si="8"/>
        <v>0</v>
      </c>
      <c r="H33" s="191">
        <f t="shared" si="8"/>
        <v>0</v>
      </c>
      <c r="I33" s="7">
        <f t="shared" si="8"/>
        <v>0</v>
      </c>
      <c r="J33" s="191">
        <f t="shared" si="8"/>
        <v>0</v>
      </c>
      <c r="K33" s="7">
        <f t="shared" si="8"/>
        <v>0</v>
      </c>
      <c r="L33" s="181">
        <f t="shared" si="8"/>
        <v>0</v>
      </c>
      <c r="M33" s="191">
        <f t="shared" si="8"/>
        <v>0</v>
      </c>
      <c r="N33" s="181">
        <f t="shared" si="8"/>
        <v>0</v>
      </c>
      <c r="O33" s="154">
        <f>IF(AND(K33=0,M33&lt;&gt;0),"NA",IF(N33&lt;0,-N33/K33,0))</f>
        <v>0</v>
      </c>
      <c r="P33" s="418"/>
    </row>
    <row r="34" spans="1:16" ht="12.75" customHeight="1" x14ac:dyDescent="0.2">
      <c r="A34" s="249"/>
      <c r="B34" s="649" t="s">
        <v>187</v>
      </c>
      <c r="C34" s="800"/>
      <c r="D34" s="20"/>
      <c r="E34" s="197"/>
      <c r="F34" s="192"/>
      <c r="G34" s="187"/>
      <c r="H34" s="192"/>
      <c r="I34" s="18"/>
      <c r="J34" s="192"/>
      <c r="K34" s="18"/>
      <c r="L34" s="187"/>
      <c r="M34" s="192"/>
      <c r="N34" s="18"/>
      <c r="O34" s="303"/>
      <c r="P34" s="302"/>
    </row>
    <row r="35" spans="1:16" ht="12.75" customHeight="1" x14ac:dyDescent="0.2">
      <c r="A35" s="249">
        <v>22</v>
      </c>
      <c r="B35" s="644" t="s">
        <v>188</v>
      </c>
      <c r="C35" s="645"/>
      <c r="D35" s="20">
        <v>6510</v>
      </c>
      <c r="E35" s="195">
        <f>(L35-I35)*'7. Approved Proration - 175'!I35</f>
        <v>0</v>
      </c>
      <c r="F35" s="190">
        <f>(M35-J35)*'7. Approved Proration - 175'!I35</f>
        <v>0</v>
      </c>
      <c r="G35" s="186">
        <f t="shared" ref="G35:G46" si="9">L35-E35-I35</f>
        <v>0</v>
      </c>
      <c r="H35" s="190">
        <f t="shared" ref="H35:H46" si="10">M35-F35-J35</f>
        <v>0</v>
      </c>
      <c r="I35" s="439">
        <v>0</v>
      </c>
      <c r="J35" s="437">
        <f t="shared" ref="J35:J46" si="11">IF($Q$10=TRUE,I35,0)</f>
        <v>0</v>
      </c>
      <c r="K35" s="13">
        <f>'6. Approved Cost of Ops - 174 '!G35</f>
        <v>0</v>
      </c>
      <c r="L35" s="440">
        <v>0</v>
      </c>
      <c r="M35" s="437">
        <f t="shared" ref="M35:M45" si="12">IF($R$10=TRUE,L35,0)</f>
        <v>0</v>
      </c>
      <c r="N35" s="13">
        <f t="shared" ref="N35:N46" si="13">+K35-M35</f>
        <v>0</v>
      </c>
      <c r="O35" s="152">
        <f t="shared" ref="O35:O47" si="14">IF(AND(K35=0,M35&lt;&gt;0),"NA",IF(N35&lt;0,-N35/K35,0))</f>
        <v>0</v>
      </c>
      <c r="P35" s="418"/>
    </row>
    <row r="36" spans="1:16" ht="12.75" customHeight="1" x14ac:dyDescent="0.2">
      <c r="A36" s="249">
        <v>23</v>
      </c>
      <c r="B36" s="644" t="s">
        <v>189</v>
      </c>
      <c r="C36" s="645"/>
      <c r="D36" s="20">
        <v>6515</v>
      </c>
      <c r="E36" s="195">
        <f>(L36-I36)*'7. Approved Proration - 175'!I36</f>
        <v>0</v>
      </c>
      <c r="F36" s="190">
        <f>(M36-J36)*'7. Approved Proration - 175'!I36</f>
        <v>0</v>
      </c>
      <c r="G36" s="186">
        <f t="shared" si="9"/>
        <v>0</v>
      </c>
      <c r="H36" s="190">
        <f t="shared" si="10"/>
        <v>0</v>
      </c>
      <c r="I36" s="439">
        <v>0</v>
      </c>
      <c r="J36" s="437">
        <f t="shared" si="11"/>
        <v>0</v>
      </c>
      <c r="K36" s="13">
        <f>'6. Approved Cost of Ops - 174 '!G36</f>
        <v>0</v>
      </c>
      <c r="L36" s="440">
        <v>0</v>
      </c>
      <c r="M36" s="437">
        <f t="shared" si="12"/>
        <v>0</v>
      </c>
      <c r="N36" s="13">
        <f t="shared" si="13"/>
        <v>0</v>
      </c>
      <c r="O36" s="152">
        <f t="shared" si="14"/>
        <v>0</v>
      </c>
      <c r="P36" s="418"/>
    </row>
    <row r="37" spans="1:16" ht="12.75" customHeight="1" x14ac:dyDescent="0.2">
      <c r="A37" s="249">
        <v>24</v>
      </c>
      <c r="B37" s="644" t="s">
        <v>190</v>
      </c>
      <c r="C37" s="645"/>
      <c r="D37" s="20">
        <v>6520</v>
      </c>
      <c r="E37" s="195">
        <f>(L37-I37)*'7. Approved Proration - 175'!I37</f>
        <v>0</v>
      </c>
      <c r="F37" s="190">
        <f>(M37-J37)*'7. Approved Proration - 175'!I37</f>
        <v>0</v>
      </c>
      <c r="G37" s="186">
        <f t="shared" si="9"/>
        <v>0</v>
      </c>
      <c r="H37" s="190">
        <f t="shared" si="10"/>
        <v>0</v>
      </c>
      <c r="I37" s="439">
        <v>0</v>
      </c>
      <c r="J37" s="437">
        <f t="shared" si="11"/>
        <v>0</v>
      </c>
      <c r="K37" s="13">
        <f>'6. Approved Cost of Ops - 174 '!G37</f>
        <v>0</v>
      </c>
      <c r="L37" s="440">
        <v>0</v>
      </c>
      <c r="M37" s="437">
        <f t="shared" si="12"/>
        <v>0</v>
      </c>
      <c r="N37" s="13">
        <f t="shared" si="13"/>
        <v>0</v>
      </c>
      <c r="O37" s="152">
        <f t="shared" si="14"/>
        <v>0</v>
      </c>
      <c r="P37" s="418"/>
    </row>
    <row r="38" spans="1:16" ht="12.75" customHeight="1" x14ac:dyDescent="0.2">
      <c r="A38" s="249">
        <v>25</v>
      </c>
      <c r="B38" s="644" t="s">
        <v>225</v>
      </c>
      <c r="C38" s="645"/>
      <c r="D38" s="20">
        <v>6521</v>
      </c>
      <c r="E38" s="195">
        <f>(L38-I38)*'7. Approved Proration - 175'!I38</f>
        <v>0</v>
      </c>
      <c r="F38" s="190">
        <f>(M38-J38)*'7. Approved Proration - 175'!I38</f>
        <v>0</v>
      </c>
      <c r="G38" s="186">
        <f t="shared" si="9"/>
        <v>0</v>
      </c>
      <c r="H38" s="190">
        <f t="shared" si="10"/>
        <v>0</v>
      </c>
      <c r="I38" s="439">
        <v>0</v>
      </c>
      <c r="J38" s="437">
        <f t="shared" si="11"/>
        <v>0</v>
      </c>
      <c r="K38" s="13">
        <f>'6. Approved Cost of Ops - 174 '!G38</f>
        <v>0</v>
      </c>
      <c r="L38" s="440">
        <v>0</v>
      </c>
      <c r="M38" s="437">
        <f t="shared" si="12"/>
        <v>0</v>
      </c>
      <c r="N38" s="13">
        <f t="shared" si="13"/>
        <v>0</v>
      </c>
      <c r="O38" s="152">
        <f t="shared" si="14"/>
        <v>0</v>
      </c>
      <c r="P38" s="418"/>
    </row>
    <row r="39" spans="1:16" ht="12.75" customHeight="1" x14ac:dyDescent="0.2">
      <c r="A39" s="249">
        <v>26</v>
      </c>
      <c r="B39" s="644" t="s">
        <v>14</v>
      </c>
      <c r="C39" s="645"/>
      <c r="D39" s="62">
        <v>6525</v>
      </c>
      <c r="E39" s="195">
        <f>(L39-I39)*'7. Approved Proration - 175'!I39</f>
        <v>0</v>
      </c>
      <c r="F39" s="190">
        <f>(M39-J39)*'7. Approved Proration - 175'!I39</f>
        <v>0</v>
      </c>
      <c r="G39" s="186">
        <f t="shared" si="9"/>
        <v>0</v>
      </c>
      <c r="H39" s="190">
        <f t="shared" si="10"/>
        <v>0</v>
      </c>
      <c r="I39" s="439">
        <v>0</v>
      </c>
      <c r="J39" s="437">
        <f t="shared" si="11"/>
        <v>0</v>
      </c>
      <c r="K39" s="13">
        <f>'6. Approved Cost of Ops - 174 '!G39</f>
        <v>0</v>
      </c>
      <c r="L39" s="440">
        <v>0</v>
      </c>
      <c r="M39" s="437">
        <f t="shared" si="12"/>
        <v>0</v>
      </c>
      <c r="N39" s="13">
        <f t="shared" si="13"/>
        <v>0</v>
      </c>
      <c r="O39" s="152">
        <f t="shared" si="14"/>
        <v>0</v>
      </c>
      <c r="P39" s="418"/>
    </row>
    <row r="40" spans="1:16" ht="12.75" customHeight="1" x14ac:dyDescent="0.2">
      <c r="A40" s="249">
        <v>27</v>
      </c>
      <c r="B40" s="644" t="s">
        <v>197</v>
      </c>
      <c r="C40" s="645"/>
      <c r="D40" s="20">
        <v>6530</v>
      </c>
      <c r="E40" s="195">
        <f>(L40-I40)*'7. Approved Proration - 175'!I40</f>
        <v>0</v>
      </c>
      <c r="F40" s="190">
        <f>(M40-J40)*'7. Approved Proration - 175'!I40</f>
        <v>0</v>
      </c>
      <c r="G40" s="186">
        <f t="shared" si="9"/>
        <v>0</v>
      </c>
      <c r="H40" s="190">
        <f t="shared" si="10"/>
        <v>0</v>
      </c>
      <c r="I40" s="439">
        <v>0</v>
      </c>
      <c r="J40" s="437">
        <f t="shared" si="11"/>
        <v>0</v>
      </c>
      <c r="K40" s="13">
        <f>'6. Approved Cost of Ops - 174 '!G40</f>
        <v>0</v>
      </c>
      <c r="L40" s="440">
        <v>0</v>
      </c>
      <c r="M40" s="437">
        <f t="shared" si="12"/>
        <v>0</v>
      </c>
      <c r="N40" s="13">
        <f t="shared" si="13"/>
        <v>0</v>
      </c>
      <c r="O40" s="152">
        <f t="shared" si="14"/>
        <v>0</v>
      </c>
      <c r="P40" s="418"/>
    </row>
    <row r="41" spans="1:16" ht="12.75" customHeight="1" x14ac:dyDescent="0.2">
      <c r="A41" s="249">
        <v>28</v>
      </c>
      <c r="B41" s="644" t="s">
        <v>192</v>
      </c>
      <c r="C41" s="645"/>
      <c r="D41" s="20">
        <v>6531</v>
      </c>
      <c r="E41" s="195">
        <f>(L41-I41)*'7. Approved Proration - 175'!I41</f>
        <v>0</v>
      </c>
      <c r="F41" s="190">
        <f>(M41-J41)*'7. Approved Proration - 175'!I41</f>
        <v>0</v>
      </c>
      <c r="G41" s="186">
        <f t="shared" si="9"/>
        <v>0</v>
      </c>
      <c r="H41" s="190">
        <f t="shared" si="10"/>
        <v>0</v>
      </c>
      <c r="I41" s="439">
        <v>0</v>
      </c>
      <c r="J41" s="437">
        <f t="shared" si="11"/>
        <v>0</v>
      </c>
      <c r="K41" s="13">
        <f>'6. Approved Cost of Ops - 174 '!G41</f>
        <v>0</v>
      </c>
      <c r="L41" s="440">
        <v>0</v>
      </c>
      <c r="M41" s="437">
        <f t="shared" si="12"/>
        <v>0</v>
      </c>
      <c r="N41" s="13">
        <f t="shared" si="13"/>
        <v>0</v>
      </c>
      <c r="O41" s="152">
        <f t="shared" si="14"/>
        <v>0</v>
      </c>
      <c r="P41" s="418"/>
    </row>
    <row r="42" spans="1:16" ht="12.75" customHeight="1" x14ac:dyDescent="0.2">
      <c r="A42" s="249">
        <v>29</v>
      </c>
      <c r="B42" s="644" t="s">
        <v>15</v>
      </c>
      <c r="C42" s="645"/>
      <c r="D42" s="20">
        <v>6546</v>
      </c>
      <c r="E42" s="195">
        <f>(L42-I42)*'7. Approved Proration - 175'!I42</f>
        <v>0</v>
      </c>
      <c r="F42" s="190">
        <f>(M42-J42)*'7. Approved Proration - 175'!I42</f>
        <v>0</v>
      </c>
      <c r="G42" s="186">
        <f t="shared" si="9"/>
        <v>0</v>
      </c>
      <c r="H42" s="190">
        <f t="shared" si="10"/>
        <v>0</v>
      </c>
      <c r="I42" s="439">
        <v>0</v>
      </c>
      <c r="J42" s="437">
        <f t="shared" si="11"/>
        <v>0</v>
      </c>
      <c r="K42" s="13">
        <f>'6. Approved Cost of Ops - 174 '!G42</f>
        <v>0</v>
      </c>
      <c r="L42" s="440">
        <v>0</v>
      </c>
      <c r="M42" s="437">
        <f t="shared" si="12"/>
        <v>0</v>
      </c>
      <c r="N42" s="13">
        <f t="shared" si="13"/>
        <v>0</v>
      </c>
      <c r="O42" s="152">
        <f t="shared" si="14"/>
        <v>0</v>
      </c>
      <c r="P42" s="418"/>
    </row>
    <row r="43" spans="1:16" ht="12.75" customHeight="1" x14ac:dyDescent="0.2">
      <c r="A43" s="249">
        <v>30</v>
      </c>
      <c r="B43" s="644" t="s">
        <v>16</v>
      </c>
      <c r="C43" s="645"/>
      <c r="D43" s="20">
        <v>6548</v>
      </c>
      <c r="E43" s="195">
        <f>(L43-I43)*'7. Approved Proration - 175'!I43</f>
        <v>0</v>
      </c>
      <c r="F43" s="190">
        <f>(M43-J43)*'7. Approved Proration - 175'!I43</f>
        <v>0</v>
      </c>
      <c r="G43" s="186">
        <f t="shared" si="9"/>
        <v>0</v>
      </c>
      <c r="H43" s="190">
        <f t="shared" si="10"/>
        <v>0</v>
      </c>
      <c r="I43" s="439">
        <v>0</v>
      </c>
      <c r="J43" s="437">
        <f t="shared" si="11"/>
        <v>0</v>
      </c>
      <c r="K43" s="13">
        <f>'6. Approved Cost of Ops - 174 '!G43</f>
        <v>0</v>
      </c>
      <c r="L43" s="440">
        <v>0</v>
      </c>
      <c r="M43" s="437">
        <f t="shared" si="12"/>
        <v>0</v>
      </c>
      <c r="N43" s="13">
        <f t="shared" si="13"/>
        <v>0</v>
      </c>
      <c r="O43" s="152">
        <f t="shared" si="14"/>
        <v>0</v>
      </c>
      <c r="P43" s="418"/>
    </row>
    <row r="44" spans="1:16" ht="12.75" customHeight="1" x14ac:dyDescent="0.2">
      <c r="A44" s="249">
        <v>31</v>
      </c>
      <c r="B44" s="644" t="s">
        <v>224</v>
      </c>
      <c r="C44" s="645"/>
      <c r="D44" s="20">
        <v>6570</v>
      </c>
      <c r="E44" s="195">
        <f>(L44-I44)*'7. Approved Proration - 175'!I44</f>
        <v>0</v>
      </c>
      <c r="F44" s="190">
        <f>(M44-J44)*'7. Approved Proration - 175'!I44</f>
        <v>0</v>
      </c>
      <c r="G44" s="186">
        <f t="shared" si="9"/>
        <v>0</v>
      </c>
      <c r="H44" s="190">
        <f t="shared" si="10"/>
        <v>0</v>
      </c>
      <c r="I44" s="439">
        <v>0</v>
      </c>
      <c r="J44" s="437">
        <f t="shared" si="11"/>
        <v>0</v>
      </c>
      <c r="K44" s="13">
        <f>'6. Approved Cost of Ops - 174 '!G44</f>
        <v>0</v>
      </c>
      <c r="L44" s="440">
        <v>0</v>
      </c>
      <c r="M44" s="437">
        <f t="shared" si="12"/>
        <v>0</v>
      </c>
      <c r="N44" s="13">
        <f t="shared" si="13"/>
        <v>0</v>
      </c>
      <c r="O44" s="152">
        <f t="shared" si="14"/>
        <v>0</v>
      </c>
      <c r="P44" s="418"/>
    </row>
    <row r="45" spans="1:16" ht="12.75" customHeight="1" x14ac:dyDescent="0.2">
      <c r="A45" s="249">
        <v>32</v>
      </c>
      <c r="B45" s="644" t="s">
        <v>198</v>
      </c>
      <c r="C45" s="645"/>
      <c r="D45" s="20">
        <v>6580</v>
      </c>
      <c r="E45" s="195">
        <f>(L45-I45)*'7. Approved Proration - 175'!I45</f>
        <v>0</v>
      </c>
      <c r="F45" s="190">
        <f>(M45-J45)*'7. Approved Proration - 175'!I45</f>
        <v>0</v>
      </c>
      <c r="G45" s="186">
        <f>L45-E45-I45</f>
        <v>0</v>
      </c>
      <c r="H45" s="190">
        <f>M45-F45-J45</f>
        <v>0</v>
      </c>
      <c r="I45" s="439">
        <v>0</v>
      </c>
      <c r="J45" s="437">
        <f t="shared" si="11"/>
        <v>0</v>
      </c>
      <c r="K45" s="13">
        <f>'6. Approved Cost of Ops - 174 '!G45</f>
        <v>0</v>
      </c>
      <c r="L45" s="440">
        <v>0</v>
      </c>
      <c r="M45" s="437">
        <f t="shared" si="12"/>
        <v>0</v>
      </c>
      <c r="N45" s="13">
        <f>+K45-M45</f>
        <v>0</v>
      </c>
      <c r="O45" s="152">
        <f t="shared" si="14"/>
        <v>0</v>
      </c>
      <c r="P45" s="418"/>
    </row>
    <row r="46" spans="1:16" ht="12.75" customHeight="1" x14ac:dyDescent="0.2">
      <c r="A46" s="249">
        <v>33</v>
      </c>
      <c r="B46" s="794" t="s">
        <v>223</v>
      </c>
      <c r="C46" s="795"/>
      <c r="D46" s="82">
        <v>6590</v>
      </c>
      <c r="E46" s="195">
        <f>(L46-I46)*'7. Approved Proration - 175'!I46</f>
        <v>0</v>
      </c>
      <c r="F46" s="190">
        <f>(M46-J46)*'7. Approved Proration - 175'!I46</f>
        <v>0</v>
      </c>
      <c r="G46" s="186">
        <f t="shared" si="9"/>
        <v>0</v>
      </c>
      <c r="H46" s="190">
        <f t="shared" si="10"/>
        <v>0</v>
      </c>
      <c r="I46" s="439">
        <v>0</v>
      </c>
      <c r="J46" s="437">
        <f t="shared" si="11"/>
        <v>0</v>
      </c>
      <c r="K46" s="13">
        <f>'6. Approved Cost of Ops - 174 '!G46</f>
        <v>0</v>
      </c>
      <c r="L46" s="186">
        <f>G107</f>
        <v>0</v>
      </c>
      <c r="M46" s="190">
        <f>I107</f>
        <v>0</v>
      </c>
      <c r="N46" s="13">
        <f t="shared" si="13"/>
        <v>0</v>
      </c>
      <c r="O46" s="152">
        <f t="shared" si="14"/>
        <v>0</v>
      </c>
      <c r="P46" s="418"/>
    </row>
    <row r="47" spans="1:16" ht="12.75" customHeight="1" x14ac:dyDescent="0.2">
      <c r="A47" s="249">
        <v>34</v>
      </c>
      <c r="B47" s="699" t="s">
        <v>220</v>
      </c>
      <c r="C47" s="669"/>
      <c r="D47" s="53" t="s">
        <v>17</v>
      </c>
      <c r="E47" s="196">
        <f t="shared" ref="E47:N47" si="15">SUM(E35:E46)</f>
        <v>0</v>
      </c>
      <c r="F47" s="191">
        <f t="shared" si="15"/>
        <v>0</v>
      </c>
      <c r="G47" s="181">
        <f t="shared" si="15"/>
        <v>0</v>
      </c>
      <c r="H47" s="191">
        <f t="shared" si="15"/>
        <v>0</v>
      </c>
      <c r="I47" s="7">
        <f t="shared" si="15"/>
        <v>0</v>
      </c>
      <c r="J47" s="191">
        <f t="shared" si="15"/>
        <v>0</v>
      </c>
      <c r="K47" s="7">
        <f t="shared" si="15"/>
        <v>0</v>
      </c>
      <c r="L47" s="181">
        <f t="shared" si="15"/>
        <v>0</v>
      </c>
      <c r="M47" s="191">
        <f t="shared" si="15"/>
        <v>0</v>
      </c>
      <c r="N47" s="181">
        <f t="shared" si="15"/>
        <v>0</v>
      </c>
      <c r="O47" s="154">
        <f t="shared" si="14"/>
        <v>0</v>
      </c>
      <c r="P47" s="418"/>
    </row>
    <row r="48" spans="1:16" ht="12.75" customHeight="1" x14ac:dyDescent="0.2">
      <c r="A48" s="249"/>
      <c r="B48" s="649" t="s">
        <v>82</v>
      </c>
      <c r="C48" s="800"/>
      <c r="D48" s="20"/>
      <c r="E48" s="198"/>
      <c r="F48" s="193"/>
      <c r="G48" s="188"/>
      <c r="H48" s="193"/>
      <c r="I48" s="19"/>
      <c r="J48" s="193"/>
      <c r="K48" s="19"/>
      <c r="L48" s="188"/>
      <c r="M48" s="192"/>
      <c r="N48" s="18"/>
      <c r="O48" s="303"/>
      <c r="P48" s="302"/>
    </row>
    <row r="49" spans="1:16" ht="12.75" customHeight="1" x14ac:dyDescent="0.2">
      <c r="A49" s="249">
        <v>35</v>
      </c>
      <c r="B49" s="644" t="s">
        <v>18</v>
      </c>
      <c r="C49" s="645"/>
      <c r="D49" s="20">
        <v>6710</v>
      </c>
      <c r="E49" s="195">
        <f>(L49-I49)*'7. Approved Proration - 175'!I49</f>
        <v>0</v>
      </c>
      <c r="F49" s="190">
        <f>(M49-J49)*'7. Approved Proration - 175'!I49</f>
        <v>0</v>
      </c>
      <c r="G49" s="186">
        <f t="shared" ref="G49:H55" si="16">L49-E49-I49</f>
        <v>0</v>
      </c>
      <c r="H49" s="190">
        <f t="shared" si="16"/>
        <v>0</v>
      </c>
      <c r="I49" s="439">
        <v>0</v>
      </c>
      <c r="J49" s="437">
        <f t="shared" ref="J49:J55" si="17">IF($Q$10=TRUE,I49,0)</f>
        <v>0</v>
      </c>
      <c r="K49" s="13">
        <f>'6. Approved Cost of Ops - 174 '!G49</f>
        <v>0</v>
      </c>
      <c r="L49" s="440">
        <v>0</v>
      </c>
      <c r="M49" s="437">
        <f t="shared" ref="M49:M54" si="18">IF($R$10=TRUE,L49,0)</f>
        <v>0</v>
      </c>
      <c r="N49" s="13">
        <f t="shared" ref="N49:N55" si="19">+K49-M49</f>
        <v>0</v>
      </c>
      <c r="O49" s="152">
        <f t="shared" ref="O49:O56" si="20">IF(AND(K49=0,M49&lt;&gt;0),"NA",IF(N49&lt;0,-N49/K49,0))</f>
        <v>0</v>
      </c>
      <c r="P49" s="418"/>
    </row>
    <row r="50" spans="1:16" ht="12.75" customHeight="1" x14ac:dyDescent="0.2">
      <c r="A50" s="249">
        <v>36</v>
      </c>
      <c r="B50" s="644" t="s">
        <v>19</v>
      </c>
      <c r="C50" s="645"/>
      <c r="D50" s="20">
        <v>6711</v>
      </c>
      <c r="E50" s="195">
        <f>(L50-I50)*'7. Approved Proration - 175'!I50</f>
        <v>0</v>
      </c>
      <c r="F50" s="190">
        <f>(M50-J50)*'7. Approved Proration - 175'!I50</f>
        <v>0</v>
      </c>
      <c r="G50" s="186">
        <f t="shared" si="16"/>
        <v>0</v>
      </c>
      <c r="H50" s="190">
        <f t="shared" si="16"/>
        <v>0</v>
      </c>
      <c r="I50" s="439">
        <v>0</v>
      </c>
      <c r="J50" s="437">
        <f t="shared" si="17"/>
        <v>0</v>
      </c>
      <c r="K50" s="13">
        <f>'6. Approved Cost of Ops - 174 '!G50</f>
        <v>0</v>
      </c>
      <c r="L50" s="440">
        <v>0</v>
      </c>
      <c r="M50" s="437">
        <f t="shared" si="18"/>
        <v>0</v>
      </c>
      <c r="N50" s="13">
        <f t="shared" si="19"/>
        <v>0</v>
      </c>
      <c r="O50" s="152">
        <f t="shared" si="20"/>
        <v>0</v>
      </c>
      <c r="P50" s="418"/>
    </row>
    <row r="51" spans="1:16" ht="12.75" customHeight="1" x14ac:dyDescent="0.2">
      <c r="A51" s="249">
        <v>37</v>
      </c>
      <c r="B51" s="644" t="s">
        <v>194</v>
      </c>
      <c r="C51" s="645"/>
      <c r="D51" s="20">
        <v>6720</v>
      </c>
      <c r="E51" s="195">
        <f>(L51-I51)*'7. Approved Proration - 175'!I51</f>
        <v>0</v>
      </c>
      <c r="F51" s="190">
        <f>(M51-J51)*'7. Approved Proration - 175'!I51</f>
        <v>0</v>
      </c>
      <c r="G51" s="186">
        <f t="shared" si="16"/>
        <v>0</v>
      </c>
      <c r="H51" s="190">
        <f t="shared" si="16"/>
        <v>0</v>
      </c>
      <c r="I51" s="439">
        <v>0</v>
      </c>
      <c r="J51" s="437">
        <f t="shared" si="17"/>
        <v>0</v>
      </c>
      <c r="K51" s="13">
        <f>'6. Approved Cost of Ops - 174 '!G51</f>
        <v>0</v>
      </c>
      <c r="L51" s="440">
        <v>0</v>
      </c>
      <c r="M51" s="437">
        <f t="shared" si="18"/>
        <v>0</v>
      </c>
      <c r="N51" s="13">
        <f t="shared" si="19"/>
        <v>0</v>
      </c>
      <c r="O51" s="152">
        <f t="shared" si="20"/>
        <v>0</v>
      </c>
      <c r="P51" s="418"/>
    </row>
    <row r="52" spans="1:16" ht="12.75" customHeight="1" x14ac:dyDescent="0.2">
      <c r="A52" s="249">
        <v>38</v>
      </c>
      <c r="B52" s="644" t="s">
        <v>20</v>
      </c>
      <c r="C52" s="645"/>
      <c r="D52" s="20">
        <v>6721</v>
      </c>
      <c r="E52" s="195">
        <f>(L52-I52)*'7. Approved Proration - 175'!I52</f>
        <v>0</v>
      </c>
      <c r="F52" s="190">
        <f>(M52-J52)*'7. Approved Proration - 175'!I52</f>
        <v>0</v>
      </c>
      <c r="G52" s="186">
        <f t="shared" si="16"/>
        <v>0</v>
      </c>
      <c r="H52" s="190">
        <f t="shared" si="16"/>
        <v>0</v>
      </c>
      <c r="I52" s="439">
        <v>0</v>
      </c>
      <c r="J52" s="437">
        <f t="shared" si="17"/>
        <v>0</v>
      </c>
      <c r="K52" s="13">
        <f>'6. Approved Cost of Ops - 174 '!G52</f>
        <v>0</v>
      </c>
      <c r="L52" s="440">
        <v>0</v>
      </c>
      <c r="M52" s="437">
        <f t="shared" si="18"/>
        <v>0</v>
      </c>
      <c r="N52" s="13">
        <f t="shared" si="19"/>
        <v>0</v>
      </c>
      <c r="O52" s="152">
        <f t="shared" si="20"/>
        <v>0</v>
      </c>
      <c r="P52" s="418"/>
    </row>
    <row r="53" spans="1:16" ht="12.75" customHeight="1" x14ac:dyDescent="0.2">
      <c r="A53" s="249">
        <v>39</v>
      </c>
      <c r="B53" s="644" t="s">
        <v>21</v>
      </c>
      <c r="C53" s="645"/>
      <c r="D53" s="20">
        <v>6722</v>
      </c>
      <c r="E53" s="195">
        <f>(L53-I53)*'7. Approved Proration - 175'!I53</f>
        <v>0</v>
      </c>
      <c r="F53" s="190">
        <f>(M53-J53)*'7. Approved Proration - 175'!I53</f>
        <v>0</v>
      </c>
      <c r="G53" s="186">
        <f t="shared" si="16"/>
        <v>0</v>
      </c>
      <c r="H53" s="190">
        <f t="shared" si="16"/>
        <v>0</v>
      </c>
      <c r="I53" s="439">
        <v>0</v>
      </c>
      <c r="J53" s="437">
        <f t="shared" si="17"/>
        <v>0</v>
      </c>
      <c r="K53" s="13">
        <f>'6. Approved Cost of Ops - 174 '!G53</f>
        <v>0</v>
      </c>
      <c r="L53" s="440">
        <v>0</v>
      </c>
      <c r="M53" s="437">
        <f t="shared" si="18"/>
        <v>0</v>
      </c>
      <c r="N53" s="13">
        <f t="shared" si="19"/>
        <v>0</v>
      </c>
      <c r="O53" s="152">
        <f t="shared" si="20"/>
        <v>0</v>
      </c>
      <c r="P53" s="418"/>
    </row>
    <row r="54" spans="1:16" ht="12.75" customHeight="1" x14ac:dyDescent="0.2">
      <c r="A54" s="249">
        <v>40</v>
      </c>
      <c r="B54" s="644" t="s">
        <v>222</v>
      </c>
      <c r="C54" s="645"/>
      <c r="D54" s="20">
        <v>6723</v>
      </c>
      <c r="E54" s="195">
        <f>(L54-I54)*'7. Approved Proration - 175'!I54</f>
        <v>0</v>
      </c>
      <c r="F54" s="190">
        <f>(M54-J54)*'7. Approved Proration - 175'!I54</f>
        <v>0</v>
      </c>
      <c r="G54" s="186">
        <f t="shared" si="16"/>
        <v>0</v>
      </c>
      <c r="H54" s="190">
        <f t="shared" si="16"/>
        <v>0</v>
      </c>
      <c r="I54" s="439">
        <v>0</v>
      </c>
      <c r="J54" s="437">
        <f t="shared" si="17"/>
        <v>0</v>
      </c>
      <c r="K54" s="13">
        <f>'6. Approved Cost of Ops - 174 '!G54</f>
        <v>0</v>
      </c>
      <c r="L54" s="440">
        <v>0</v>
      </c>
      <c r="M54" s="437">
        <f t="shared" si="18"/>
        <v>0</v>
      </c>
      <c r="N54" s="13">
        <f t="shared" si="19"/>
        <v>0</v>
      </c>
      <c r="O54" s="152">
        <f t="shared" si="20"/>
        <v>0</v>
      </c>
      <c r="P54" s="418"/>
    </row>
    <row r="55" spans="1:16" ht="12.75" customHeight="1" x14ac:dyDescent="0.2">
      <c r="A55" s="249">
        <v>41</v>
      </c>
      <c r="B55" s="794" t="s">
        <v>218</v>
      </c>
      <c r="C55" s="795"/>
      <c r="D55" s="83">
        <v>6790</v>
      </c>
      <c r="E55" s="195">
        <f>(L55-I55)*'7. Approved Proration - 175'!I55</f>
        <v>0</v>
      </c>
      <c r="F55" s="190">
        <f>(M55-J55)*'7. Approved Proration - 175'!I55</f>
        <v>0</v>
      </c>
      <c r="G55" s="186">
        <f t="shared" si="16"/>
        <v>0</v>
      </c>
      <c r="H55" s="190">
        <f t="shared" si="16"/>
        <v>0</v>
      </c>
      <c r="I55" s="439">
        <v>0</v>
      </c>
      <c r="J55" s="437">
        <f t="shared" si="17"/>
        <v>0</v>
      </c>
      <c r="K55" s="13">
        <f>'6. Approved Cost of Ops - 174 '!G55</f>
        <v>0</v>
      </c>
      <c r="L55" s="186">
        <f>G115</f>
        <v>0</v>
      </c>
      <c r="M55" s="190">
        <f>I115</f>
        <v>0</v>
      </c>
      <c r="N55" s="13">
        <f t="shared" si="19"/>
        <v>0</v>
      </c>
      <c r="O55" s="152">
        <f t="shared" si="20"/>
        <v>0</v>
      </c>
      <c r="P55" s="418"/>
    </row>
    <row r="56" spans="1:16" ht="12.75" customHeight="1" x14ac:dyDescent="0.2">
      <c r="A56" s="249">
        <v>42</v>
      </c>
      <c r="B56" s="699" t="s">
        <v>83</v>
      </c>
      <c r="C56" s="669"/>
      <c r="D56" s="53" t="s">
        <v>22</v>
      </c>
      <c r="E56" s="196">
        <f t="shared" ref="E56:N56" si="21">SUM(E49:E55)</f>
        <v>0</v>
      </c>
      <c r="F56" s="191">
        <f t="shared" si="21"/>
        <v>0</v>
      </c>
      <c r="G56" s="181">
        <f t="shared" si="21"/>
        <v>0</v>
      </c>
      <c r="H56" s="191">
        <f t="shared" si="21"/>
        <v>0</v>
      </c>
      <c r="I56" s="7">
        <f t="shared" si="21"/>
        <v>0</v>
      </c>
      <c r="J56" s="191">
        <f t="shared" si="21"/>
        <v>0</v>
      </c>
      <c r="K56" s="7">
        <f t="shared" si="21"/>
        <v>0</v>
      </c>
      <c r="L56" s="181">
        <f t="shared" si="21"/>
        <v>0</v>
      </c>
      <c r="M56" s="191">
        <f t="shared" si="21"/>
        <v>0</v>
      </c>
      <c r="N56" s="181">
        <f t="shared" si="21"/>
        <v>0</v>
      </c>
      <c r="O56" s="154">
        <f t="shared" si="20"/>
        <v>0</v>
      </c>
      <c r="P56" s="418"/>
    </row>
    <row r="57" spans="1:16" ht="12.75" customHeight="1" x14ac:dyDescent="0.2">
      <c r="A57" s="248"/>
      <c r="B57" s="816" t="s">
        <v>265</v>
      </c>
      <c r="C57" s="817"/>
      <c r="D57" s="82">
        <v>6990</v>
      </c>
      <c r="E57" s="195"/>
      <c r="F57" s="190"/>
      <c r="G57" s="186"/>
      <c r="H57" s="190"/>
      <c r="I57" s="13"/>
      <c r="J57" s="190"/>
      <c r="K57" s="13"/>
      <c r="L57" s="186"/>
      <c r="M57" s="190"/>
      <c r="N57" s="13"/>
      <c r="O57" s="303"/>
      <c r="P57" s="419"/>
    </row>
    <row r="58" spans="1:16" ht="12.75" customHeight="1" x14ac:dyDescent="0.2">
      <c r="A58" s="249">
        <v>43</v>
      </c>
      <c r="B58" s="644" t="s">
        <v>254</v>
      </c>
      <c r="C58" s="645"/>
      <c r="D58" s="312">
        <f>IF(M58=0,0,IF(M59+M60=0,1,M58/(M59+M60)))</f>
        <v>0</v>
      </c>
      <c r="E58" s="195">
        <f>(L58-I58)*'7. Approved Proration - 175'!I55</f>
        <v>0</v>
      </c>
      <c r="F58" s="190">
        <f>(M58-J58)*'7. Approved Proration - 175'!I55</f>
        <v>0</v>
      </c>
      <c r="G58" s="186">
        <f t="shared" ref="G58:H62" si="22">L58-E58-I58</f>
        <v>0</v>
      </c>
      <c r="H58" s="190">
        <f t="shared" si="22"/>
        <v>0</v>
      </c>
      <c r="I58" s="439">
        <v>0</v>
      </c>
      <c r="J58" s="437">
        <f>IF($Q$10=TRUE,I58,0)</f>
        <v>0</v>
      </c>
      <c r="K58" s="13">
        <f>'6. Approved Cost of Ops - 174 '!G58</f>
        <v>0</v>
      </c>
      <c r="L58" s="445">
        <v>0</v>
      </c>
      <c r="M58" s="437">
        <v>0</v>
      </c>
      <c r="N58" s="13">
        <f>+K58-M58</f>
        <v>0</v>
      </c>
      <c r="O58" s="152">
        <f t="shared" ref="O58:O64" si="23">IF(AND(K58=0,M58&lt;&gt;0),"NA",IF(N58&lt;0,-N58/K58,0))</f>
        <v>0</v>
      </c>
      <c r="P58" s="418"/>
    </row>
    <row r="59" spans="1:16" ht="12.75" customHeight="1" x14ac:dyDescent="0.2">
      <c r="A59" s="249">
        <v>44</v>
      </c>
      <c r="B59" s="644" t="s">
        <v>256</v>
      </c>
      <c r="C59" s="645"/>
      <c r="D59" s="82"/>
      <c r="E59" s="195">
        <f>(L59-I59)*'7. Approved Proration - 175'!I62</f>
        <v>0</v>
      </c>
      <c r="F59" s="190">
        <f>(M59-J59)*'7. Approved Proration - 175'!I62</f>
        <v>0</v>
      </c>
      <c r="G59" s="186">
        <f>L59-E59-I59</f>
        <v>0</v>
      </c>
      <c r="H59" s="190">
        <f>M59-F59-J59</f>
        <v>0</v>
      </c>
      <c r="I59" s="439">
        <v>0</v>
      </c>
      <c r="J59" s="437">
        <f>IF($Q$10=TRUE,I59,0)</f>
        <v>0</v>
      </c>
      <c r="K59" s="13">
        <f>'6. Approved Cost of Ops - 174 '!G59</f>
        <v>0</v>
      </c>
      <c r="L59" s="445">
        <v>0</v>
      </c>
      <c r="M59" s="437">
        <f>IF($R$10=TRUE,L59,0)</f>
        <v>0</v>
      </c>
      <c r="N59" s="13">
        <f>+K59-M59</f>
        <v>0</v>
      </c>
      <c r="O59" s="152">
        <f>IF(AND(K59=0,M59&lt;&gt;0),"NA",IF(N59&lt;0,-N59/K59,0))</f>
        <v>0</v>
      </c>
      <c r="P59" s="418"/>
    </row>
    <row r="60" spans="1:16" ht="12.75" customHeight="1" x14ac:dyDescent="0.2">
      <c r="A60" s="249">
        <v>45</v>
      </c>
      <c r="B60" s="644" t="s">
        <v>255</v>
      </c>
      <c r="C60" s="645"/>
      <c r="D60" s="82"/>
      <c r="E60" s="195">
        <f>(L60-I60)*'7. Approved Proration - 175'!I56</f>
        <v>0</v>
      </c>
      <c r="F60" s="190">
        <f>(M60-J60)*'7. Approved Proration - 175'!I56</f>
        <v>0</v>
      </c>
      <c r="G60" s="186">
        <f t="shared" si="22"/>
        <v>0</v>
      </c>
      <c r="H60" s="190">
        <f t="shared" si="22"/>
        <v>0</v>
      </c>
      <c r="I60" s="439">
        <v>0</v>
      </c>
      <c r="J60" s="437">
        <f>IF($Q$10=TRUE,I60,0)</f>
        <v>0</v>
      </c>
      <c r="K60" s="13">
        <f>'6. Approved Cost of Ops - 174 '!G60</f>
        <v>0</v>
      </c>
      <c r="L60" s="445">
        <v>0</v>
      </c>
      <c r="M60" s="437">
        <f>IF($R$10=TRUE,L60,0)</f>
        <v>0</v>
      </c>
      <c r="N60" s="13">
        <f>+K60-M60</f>
        <v>0</v>
      </c>
      <c r="O60" s="152">
        <f t="shared" si="23"/>
        <v>0</v>
      </c>
      <c r="P60" s="418"/>
    </row>
    <row r="61" spans="1:16" ht="12.75" customHeight="1" x14ac:dyDescent="0.2">
      <c r="A61" s="249">
        <v>46</v>
      </c>
      <c r="B61" s="644" t="s">
        <v>271</v>
      </c>
      <c r="C61" s="645"/>
      <c r="D61" s="312">
        <f>IF(M61=0,0,M61/M63)</f>
        <v>0</v>
      </c>
      <c r="E61" s="195">
        <f>(L61-I61)*'7. Approved Proration - 175'!I57</f>
        <v>0</v>
      </c>
      <c r="F61" s="190">
        <f>(M61-J61)*'7. Approved Proration - 175'!I57</f>
        <v>0</v>
      </c>
      <c r="G61" s="186">
        <f t="shared" si="22"/>
        <v>0</v>
      </c>
      <c r="H61" s="190">
        <f t="shared" si="22"/>
        <v>0</v>
      </c>
      <c r="I61" s="439">
        <v>0</v>
      </c>
      <c r="J61" s="437">
        <f>IF($Q$10=TRUE,I61,0)</f>
        <v>0</v>
      </c>
      <c r="K61" s="13">
        <f>'6. Approved Cost of Ops - 174 '!G61</f>
        <v>0</v>
      </c>
      <c r="L61" s="445">
        <v>0</v>
      </c>
      <c r="M61" s="437">
        <f>IF($R$10=TRUE,L61,0)</f>
        <v>0</v>
      </c>
      <c r="N61" s="13">
        <f>+K61-M61</f>
        <v>0</v>
      </c>
      <c r="O61" s="152">
        <f t="shared" si="23"/>
        <v>0</v>
      </c>
      <c r="P61" s="418"/>
    </row>
    <row r="62" spans="1:16" ht="12.75" customHeight="1" x14ac:dyDescent="0.2">
      <c r="A62" s="249">
        <v>47</v>
      </c>
      <c r="B62" s="644" t="s">
        <v>267</v>
      </c>
      <c r="C62" s="645"/>
      <c r="D62" s="82">
        <v>6990</v>
      </c>
      <c r="E62" s="195">
        <f>(L62-I62)*'7. Approved Proration - 175'!I62</f>
        <v>0</v>
      </c>
      <c r="F62" s="190">
        <f>(M62-J62)*'7. Approved Proration - 175'!I62</f>
        <v>0</v>
      </c>
      <c r="G62" s="186">
        <f t="shared" si="22"/>
        <v>0</v>
      </c>
      <c r="H62" s="190">
        <f t="shared" si="22"/>
        <v>0</v>
      </c>
      <c r="I62" s="439">
        <v>0</v>
      </c>
      <c r="J62" s="437">
        <f>IF($Q$10=TRUE,I62,0)</f>
        <v>0</v>
      </c>
      <c r="K62" s="13">
        <f>'6. Approved Cost of Ops - 174 '!G62</f>
        <v>0</v>
      </c>
      <c r="L62" s="186">
        <f>G124</f>
        <v>0</v>
      </c>
      <c r="M62" s="190">
        <f>I124</f>
        <v>0</v>
      </c>
      <c r="N62" s="13">
        <f>+K62-M62</f>
        <v>0</v>
      </c>
      <c r="O62" s="152">
        <f t="shared" si="23"/>
        <v>0</v>
      </c>
      <c r="P62" s="418"/>
    </row>
    <row r="63" spans="1:16" ht="12.75" customHeight="1" x14ac:dyDescent="0.2">
      <c r="A63" s="250">
        <v>48</v>
      </c>
      <c r="B63" s="672" t="s">
        <v>266</v>
      </c>
      <c r="C63" s="673"/>
      <c r="D63" s="53" t="s">
        <v>23</v>
      </c>
      <c r="E63" s="196">
        <f>SUM(E58:E62)</f>
        <v>0</v>
      </c>
      <c r="F63" s="191">
        <f t="shared" ref="F63:N63" si="24">SUM(F58:F62)</f>
        <v>0</v>
      </c>
      <c r="G63" s="181">
        <f t="shared" si="24"/>
        <v>0</v>
      </c>
      <c r="H63" s="191">
        <f t="shared" si="24"/>
        <v>0</v>
      </c>
      <c r="I63" s="7">
        <f t="shared" si="24"/>
        <v>0</v>
      </c>
      <c r="J63" s="191">
        <f t="shared" si="24"/>
        <v>0</v>
      </c>
      <c r="K63" s="7">
        <f t="shared" si="24"/>
        <v>0</v>
      </c>
      <c r="L63" s="181">
        <f t="shared" si="24"/>
        <v>0</v>
      </c>
      <c r="M63" s="191">
        <f t="shared" si="24"/>
        <v>0</v>
      </c>
      <c r="N63" s="181">
        <f t="shared" si="24"/>
        <v>0</v>
      </c>
      <c r="O63" s="154">
        <f t="shared" si="23"/>
        <v>0</v>
      </c>
      <c r="P63" s="418"/>
    </row>
    <row r="64" spans="1:16" ht="12.75" customHeight="1" thickBot="1" x14ac:dyDescent="0.25">
      <c r="A64" s="255">
        <v>49</v>
      </c>
      <c r="B64" s="814" t="s">
        <v>92</v>
      </c>
      <c r="C64" s="815"/>
      <c r="D64" s="256" t="s">
        <v>24</v>
      </c>
      <c r="E64" s="272">
        <f t="shared" ref="E64:N64" si="25">E27+E33+E47+E56+E63</f>
        <v>0</v>
      </c>
      <c r="F64" s="273">
        <f t="shared" si="25"/>
        <v>0</v>
      </c>
      <c r="G64" s="274">
        <f t="shared" si="25"/>
        <v>0</v>
      </c>
      <c r="H64" s="273">
        <f t="shared" si="25"/>
        <v>0</v>
      </c>
      <c r="I64" s="275">
        <f t="shared" si="25"/>
        <v>0</v>
      </c>
      <c r="J64" s="273">
        <f t="shared" si="25"/>
        <v>0</v>
      </c>
      <c r="K64" s="275">
        <f t="shared" si="25"/>
        <v>0</v>
      </c>
      <c r="L64" s="274">
        <f t="shared" si="25"/>
        <v>0</v>
      </c>
      <c r="M64" s="273">
        <f t="shared" si="25"/>
        <v>0</v>
      </c>
      <c r="N64" s="275">
        <f t="shared" si="25"/>
        <v>0</v>
      </c>
      <c r="O64" s="276">
        <f t="shared" si="23"/>
        <v>0</v>
      </c>
      <c r="P64" s="420"/>
    </row>
    <row r="65" spans="1:16" ht="14.25" thickTop="1" thickBot="1" x14ac:dyDescent="0.25">
      <c r="A65" s="287"/>
      <c r="B65" s="15"/>
      <c r="C65" s="15"/>
      <c r="D65" s="15"/>
      <c r="E65" s="15"/>
      <c r="F65" s="15"/>
      <c r="G65" s="15"/>
      <c r="H65" s="15"/>
      <c r="I65" s="15"/>
      <c r="J65" s="287"/>
      <c r="K65" s="15"/>
      <c r="L65" s="15"/>
      <c r="M65" s="15"/>
      <c r="N65" s="15"/>
      <c r="O65" s="15"/>
      <c r="P65" s="287"/>
    </row>
    <row r="66" spans="1:16" customFormat="1" ht="15.75" customHeight="1" thickTop="1" x14ac:dyDescent="0.2">
      <c r="A66" s="938" t="s">
        <v>145</v>
      </c>
      <c r="B66" s="941" t="s">
        <v>214</v>
      </c>
      <c r="C66" s="804"/>
      <c r="D66" s="804"/>
      <c r="E66" s="804"/>
      <c r="F66" s="942"/>
      <c r="G66" s="941" t="s">
        <v>172</v>
      </c>
      <c r="H66" s="804"/>
      <c r="I66" s="958" t="s">
        <v>306</v>
      </c>
      <c r="J66" s="959"/>
      <c r="K66" s="930" t="s">
        <v>307</v>
      </c>
      <c r="L66" s="930"/>
      <c r="M66" s="930"/>
      <c r="N66" s="930"/>
      <c r="O66" s="930"/>
      <c r="P66" s="931"/>
    </row>
    <row r="67" spans="1:16" customFormat="1" ht="15.75" customHeight="1" x14ac:dyDescent="0.2">
      <c r="A67" s="939"/>
      <c r="B67" s="888" t="s">
        <v>156</v>
      </c>
      <c r="C67" s="882"/>
      <c r="D67" s="882"/>
      <c r="E67" s="882"/>
      <c r="F67" s="882"/>
      <c r="G67" s="882"/>
      <c r="H67" s="889"/>
      <c r="I67" s="881" t="s">
        <v>156</v>
      </c>
      <c r="J67" s="882"/>
      <c r="K67" s="882"/>
      <c r="L67" s="882"/>
      <c r="M67" s="882"/>
      <c r="N67" s="882"/>
      <c r="O67" s="882"/>
      <c r="P67" s="883"/>
    </row>
    <row r="68" spans="1:16" customFormat="1" ht="12.75" customHeight="1" x14ac:dyDescent="0.2">
      <c r="A68" s="296">
        <v>50</v>
      </c>
      <c r="B68" s="876"/>
      <c r="C68" s="877"/>
      <c r="D68" s="877"/>
      <c r="E68" s="877"/>
      <c r="F68" s="878"/>
      <c r="G68" s="884"/>
      <c r="H68" s="885"/>
      <c r="I68" s="879"/>
      <c r="J68" s="880"/>
      <c r="K68" s="886"/>
      <c r="L68" s="886"/>
      <c r="M68" s="886"/>
      <c r="N68" s="886"/>
      <c r="O68" s="886"/>
      <c r="P68" s="887"/>
    </row>
    <row r="69" spans="1:16" customFormat="1" ht="12.75" customHeight="1" x14ac:dyDescent="0.2">
      <c r="A69" s="296">
        <v>51</v>
      </c>
      <c r="B69" s="876"/>
      <c r="C69" s="877"/>
      <c r="D69" s="877"/>
      <c r="E69" s="877"/>
      <c r="F69" s="878"/>
      <c r="G69" s="884"/>
      <c r="H69" s="885"/>
      <c r="I69" s="879"/>
      <c r="J69" s="880"/>
      <c r="K69" s="886"/>
      <c r="L69" s="886"/>
      <c r="M69" s="886"/>
      <c r="N69" s="886"/>
      <c r="O69" s="886"/>
      <c r="P69" s="887"/>
    </row>
    <row r="70" spans="1:16" customFormat="1" ht="12.75" customHeight="1" x14ac:dyDescent="0.2">
      <c r="A70" s="296">
        <v>52</v>
      </c>
      <c r="B70" s="876"/>
      <c r="C70" s="877"/>
      <c r="D70" s="877"/>
      <c r="E70" s="877"/>
      <c r="F70" s="878"/>
      <c r="G70" s="884"/>
      <c r="H70" s="885"/>
      <c r="I70" s="879"/>
      <c r="J70" s="880"/>
      <c r="K70" s="886"/>
      <c r="L70" s="886"/>
      <c r="M70" s="886"/>
      <c r="N70" s="886"/>
      <c r="O70" s="886"/>
      <c r="P70" s="887"/>
    </row>
    <row r="71" spans="1:16" customFormat="1" ht="12.75" customHeight="1" x14ac:dyDescent="0.2">
      <c r="A71" s="296">
        <v>53</v>
      </c>
      <c r="B71" s="876"/>
      <c r="C71" s="877"/>
      <c r="D71" s="877"/>
      <c r="E71" s="877"/>
      <c r="F71" s="878"/>
      <c r="G71" s="884"/>
      <c r="H71" s="885"/>
      <c r="I71" s="879"/>
      <c r="J71" s="880"/>
      <c r="K71" s="886"/>
      <c r="L71" s="886"/>
      <c r="M71" s="886"/>
      <c r="N71" s="886"/>
      <c r="O71" s="886"/>
      <c r="P71" s="887"/>
    </row>
    <row r="72" spans="1:16" customFormat="1" ht="12.75" customHeight="1" x14ac:dyDescent="0.2">
      <c r="A72" s="296">
        <v>54</v>
      </c>
      <c r="B72" s="876"/>
      <c r="C72" s="877"/>
      <c r="D72" s="877"/>
      <c r="E72" s="877"/>
      <c r="F72" s="878"/>
      <c r="G72" s="884"/>
      <c r="H72" s="885"/>
      <c r="I72" s="879"/>
      <c r="J72" s="880"/>
      <c r="K72" s="886"/>
      <c r="L72" s="886"/>
      <c r="M72" s="886"/>
      <c r="N72" s="886"/>
      <c r="O72" s="886"/>
      <c r="P72" s="887"/>
    </row>
    <row r="73" spans="1:16" customFormat="1" ht="12.75" customHeight="1" x14ac:dyDescent="0.2">
      <c r="A73" s="296">
        <v>55</v>
      </c>
      <c r="B73" s="876"/>
      <c r="C73" s="877"/>
      <c r="D73" s="877"/>
      <c r="E73" s="877"/>
      <c r="F73" s="878"/>
      <c r="G73" s="884"/>
      <c r="H73" s="885"/>
      <c r="I73" s="879"/>
      <c r="J73" s="880"/>
      <c r="K73" s="886"/>
      <c r="L73" s="886"/>
      <c r="M73" s="886"/>
      <c r="N73" s="886"/>
      <c r="O73" s="886"/>
      <c r="P73" s="887"/>
    </row>
    <row r="74" spans="1:16" customFormat="1" ht="12.75" customHeight="1" x14ac:dyDescent="0.2">
      <c r="A74" s="296">
        <v>56</v>
      </c>
      <c r="B74" s="876"/>
      <c r="C74" s="877"/>
      <c r="D74" s="877"/>
      <c r="E74" s="877"/>
      <c r="F74" s="878"/>
      <c r="G74" s="884"/>
      <c r="H74" s="885"/>
      <c r="I74" s="879"/>
      <c r="J74" s="880"/>
      <c r="K74" s="886"/>
      <c r="L74" s="886"/>
      <c r="M74" s="886"/>
      <c r="N74" s="886"/>
      <c r="O74" s="886"/>
      <c r="P74" s="887"/>
    </row>
    <row r="75" spans="1:16" customFormat="1" ht="12.75" customHeight="1" x14ac:dyDescent="0.2">
      <c r="A75" s="296">
        <v>57</v>
      </c>
      <c r="B75" s="876"/>
      <c r="C75" s="877"/>
      <c r="D75" s="877"/>
      <c r="E75" s="877"/>
      <c r="F75" s="878"/>
      <c r="G75" s="884"/>
      <c r="H75" s="885"/>
      <c r="I75" s="879"/>
      <c r="J75" s="880"/>
      <c r="K75" s="886"/>
      <c r="L75" s="886"/>
      <c r="M75" s="886"/>
      <c r="N75" s="886"/>
      <c r="O75" s="886"/>
      <c r="P75" s="887"/>
    </row>
    <row r="76" spans="1:16" customFormat="1" ht="12.75" customHeight="1" x14ac:dyDescent="0.2">
      <c r="A76" s="296">
        <v>58</v>
      </c>
      <c r="B76" s="876"/>
      <c r="C76" s="877"/>
      <c r="D76" s="877"/>
      <c r="E76" s="877"/>
      <c r="F76" s="878"/>
      <c r="G76" s="884"/>
      <c r="H76" s="885"/>
      <c r="I76" s="879"/>
      <c r="J76" s="880"/>
      <c r="K76" s="886"/>
      <c r="L76" s="886"/>
      <c r="M76" s="886"/>
      <c r="N76" s="886"/>
      <c r="O76" s="886"/>
      <c r="P76" s="887"/>
    </row>
    <row r="77" spans="1:16" customFormat="1" ht="12.75" customHeight="1" x14ac:dyDescent="0.2">
      <c r="A77" s="296">
        <v>59</v>
      </c>
      <c r="B77" s="876"/>
      <c r="C77" s="877"/>
      <c r="D77" s="877"/>
      <c r="E77" s="877"/>
      <c r="F77" s="878"/>
      <c r="G77" s="884"/>
      <c r="H77" s="885"/>
      <c r="I77" s="879"/>
      <c r="J77" s="880"/>
      <c r="K77" s="886"/>
      <c r="L77" s="886"/>
      <c r="M77" s="886"/>
      <c r="N77" s="886"/>
      <c r="O77" s="886"/>
      <c r="P77" s="887"/>
    </row>
    <row r="78" spans="1:16" customFormat="1" ht="12.75" customHeight="1" x14ac:dyDescent="0.2">
      <c r="A78" s="296">
        <v>60</v>
      </c>
      <c r="B78" s="876"/>
      <c r="C78" s="877"/>
      <c r="D78" s="877"/>
      <c r="E78" s="877"/>
      <c r="F78" s="878"/>
      <c r="G78" s="884"/>
      <c r="H78" s="885"/>
      <c r="I78" s="879"/>
      <c r="J78" s="880"/>
      <c r="K78" s="886"/>
      <c r="L78" s="886"/>
      <c r="M78" s="886"/>
      <c r="N78" s="886"/>
      <c r="O78" s="886"/>
      <c r="P78" s="887"/>
    </row>
    <row r="79" spans="1:16" customFormat="1" ht="12.75" customHeight="1" x14ac:dyDescent="0.2">
      <c r="A79" s="296">
        <v>61</v>
      </c>
      <c r="B79" s="876"/>
      <c r="C79" s="877"/>
      <c r="D79" s="877"/>
      <c r="E79" s="877"/>
      <c r="F79" s="878"/>
      <c r="G79" s="884"/>
      <c r="H79" s="885"/>
      <c r="I79" s="879"/>
      <c r="J79" s="880"/>
      <c r="K79" s="886"/>
      <c r="L79" s="886"/>
      <c r="M79" s="886"/>
      <c r="N79" s="886"/>
      <c r="O79" s="886"/>
      <c r="P79" s="887"/>
    </row>
    <row r="80" spans="1:16" customFormat="1" ht="12.75" customHeight="1" x14ac:dyDescent="0.2">
      <c r="A80" s="296">
        <v>62</v>
      </c>
      <c r="B80" s="876"/>
      <c r="C80" s="877"/>
      <c r="D80" s="877"/>
      <c r="E80" s="877"/>
      <c r="F80" s="878"/>
      <c r="G80" s="884"/>
      <c r="H80" s="885"/>
      <c r="I80" s="879"/>
      <c r="J80" s="880"/>
      <c r="K80" s="886"/>
      <c r="L80" s="886"/>
      <c r="M80" s="886"/>
      <c r="N80" s="886"/>
      <c r="O80" s="886"/>
      <c r="P80" s="887"/>
    </row>
    <row r="81" spans="1:16" customFormat="1" ht="12.75" customHeight="1" x14ac:dyDescent="0.2">
      <c r="A81" s="296">
        <v>63</v>
      </c>
      <c r="B81" s="876"/>
      <c r="C81" s="877"/>
      <c r="D81" s="877"/>
      <c r="E81" s="877"/>
      <c r="F81" s="878"/>
      <c r="G81" s="884"/>
      <c r="H81" s="885"/>
      <c r="I81" s="879"/>
      <c r="J81" s="880"/>
      <c r="K81" s="886"/>
      <c r="L81" s="886"/>
      <c r="M81" s="886"/>
      <c r="N81" s="886"/>
      <c r="O81" s="886"/>
      <c r="P81" s="887"/>
    </row>
    <row r="82" spans="1:16" customFormat="1" ht="12.75" customHeight="1" x14ac:dyDescent="0.2">
      <c r="A82" s="296">
        <v>64</v>
      </c>
      <c r="B82" s="876"/>
      <c r="C82" s="877"/>
      <c r="D82" s="877"/>
      <c r="E82" s="877"/>
      <c r="F82" s="878"/>
      <c r="G82" s="884"/>
      <c r="H82" s="885"/>
      <c r="I82" s="879"/>
      <c r="J82" s="880"/>
      <c r="K82" s="886"/>
      <c r="L82" s="886"/>
      <c r="M82" s="886"/>
      <c r="N82" s="886"/>
      <c r="O82" s="886"/>
      <c r="P82" s="887"/>
    </row>
    <row r="83" spans="1:16" customFormat="1" ht="12.75" customHeight="1" x14ac:dyDescent="0.2">
      <c r="A83" s="296">
        <v>65</v>
      </c>
      <c r="B83" s="876"/>
      <c r="C83" s="877"/>
      <c r="D83" s="877"/>
      <c r="E83" s="877"/>
      <c r="F83" s="878"/>
      <c r="G83" s="884"/>
      <c r="H83" s="885"/>
      <c r="I83" s="879"/>
      <c r="J83" s="880"/>
      <c r="K83" s="886"/>
      <c r="L83" s="886"/>
      <c r="M83" s="886"/>
      <c r="N83" s="886"/>
      <c r="O83" s="886"/>
      <c r="P83" s="887"/>
    </row>
    <row r="84" spans="1:16" customFormat="1" ht="12.75" customHeight="1" x14ac:dyDescent="0.2">
      <c r="A84" s="296">
        <v>66</v>
      </c>
      <c r="B84" s="876"/>
      <c r="C84" s="877"/>
      <c r="D84" s="877"/>
      <c r="E84" s="877"/>
      <c r="F84" s="878"/>
      <c r="G84" s="884"/>
      <c r="H84" s="885"/>
      <c r="I84" s="879"/>
      <c r="J84" s="880"/>
      <c r="K84" s="886"/>
      <c r="L84" s="886"/>
      <c r="M84" s="886"/>
      <c r="N84" s="886"/>
      <c r="O84" s="886"/>
      <c r="P84" s="887"/>
    </row>
    <row r="85" spans="1:16" customFormat="1" ht="12.75" customHeight="1" x14ac:dyDescent="0.2">
      <c r="A85" s="296">
        <v>67</v>
      </c>
      <c r="B85" s="876"/>
      <c r="C85" s="877"/>
      <c r="D85" s="877"/>
      <c r="E85" s="877"/>
      <c r="F85" s="878"/>
      <c r="G85" s="884"/>
      <c r="H85" s="885"/>
      <c r="I85" s="879"/>
      <c r="J85" s="880"/>
      <c r="K85" s="886"/>
      <c r="L85" s="886"/>
      <c r="M85" s="886"/>
      <c r="N85" s="886"/>
      <c r="O85" s="886"/>
      <c r="P85" s="887"/>
    </row>
    <row r="86" spans="1:16" customFormat="1" ht="12.75" customHeight="1" thickBot="1" x14ac:dyDescent="0.25">
      <c r="A86" s="296">
        <v>68</v>
      </c>
      <c r="B86" s="891" t="s">
        <v>159</v>
      </c>
      <c r="C86" s="892"/>
      <c r="D86" s="892"/>
      <c r="E86" s="892"/>
      <c r="F86" s="893"/>
      <c r="G86" s="903">
        <f>SUM(G68:H85)</f>
        <v>0</v>
      </c>
      <c r="H86" s="904"/>
      <c r="I86" s="943">
        <f>SUM(I68:J85)</f>
        <v>0</v>
      </c>
      <c r="J86" s="944"/>
      <c r="K86" s="952" t="s">
        <v>159</v>
      </c>
      <c r="L86" s="953"/>
      <c r="M86" s="953"/>
      <c r="N86" s="953"/>
      <c r="O86" s="953"/>
      <c r="P86" s="954"/>
    </row>
    <row r="87" spans="1:16" customFormat="1" ht="12.75" customHeight="1" x14ac:dyDescent="0.2">
      <c r="A87" s="296"/>
      <c r="B87" s="894"/>
      <c r="C87" s="895"/>
      <c r="D87" s="895"/>
      <c r="E87" s="895"/>
      <c r="F87" s="897"/>
      <c r="G87" s="894" t="s">
        <v>172</v>
      </c>
      <c r="H87" s="895"/>
      <c r="I87" s="912" t="s">
        <v>306</v>
      </c>
      <c r="J87" s="683"/>
      <c r="K87" s="948"/>
      <c r="L87" s="948"/>
      <c r="M87" s="948"/>
      <c r="N87" s="948"/>
      <c r="O87" s="948"/>
      <c r="P87" s="949"/>
    </row>
    <row r="88" spans="1:16" customFormat="1" ht="12.75" customHeight="1" x14ac:dyDescent="0.2">
      <c r="A88" s="296"/>
      <c r="B88" s="894" t="s">
        <v>157</v>
      </c>
      <c r="C88" s="895"/>
      <c r="D88" s="895"/>
      <c r="E88" s="895"/>
      <c r="F88" s="895"/>
      <c r="G88" s="895"/>
      <c r="H88" s="896"/>
      <c r="I88" s="950" t="s">
        <v>157</v>
      </c>
      <c r="J88" s="895"/>
      <c r="K88" s="895"/>
      <c r="L88" s="895"/>
      <c r="M88" s="895"/>
      <c r="N88" s="895"/>
      <c r="O88" s="895"/>
      <c r="P88" s="951"/>
    </row>
    <row r="89" spans="1:16" customFormat="1" ht="12.75" customHeight="1" x14ac:dyDescent="0.2">
      <c r="A89" s="296">
        <v>69</v>
      </c>
      <c r="B89" s="876"/>
      <c r="C89" s="877"/>
      <c r="D89" s="877"/>
      <c r="E89" s="877"/>
      <c r="F89" s="878"/>
      <c r="G89" s="884"/>
      <c r="H89" s="890"/>
      <c r="I89" s="879"/>
      <c r="J89" s="880"/>
      <c r="K89" s="945"/>
      <c r="L89" s="946"/>
      <c r="M89" s="946"/>
      <c r="N89" s="946"/>
      <c r="O89" s="946"/>
      <c r="P89" s="947"/>
    </row>
    <row r="90" spans="1:16" customFormat="1" ht="12.75" customHeight="1" x14ac:dyDescent="0.2">
      <c r="A90" s="296">
        <v>70</v>
      </c>
      <c r="B90" s="876"/>
      <c r="C90" s="877"/>
      <c r="D90" s="877"/>
      <c r="E90" s="877"/>
      <c r="F90" s="878"/>
      <c r="G90" s="884"/>
      <c r="H90" s="890"/>
      <c r="I90" s="879"/>
      <c r="J90" s="880"/>
      <c r="K90" s="945"/>
      <c r="L90" s="946"/>
      <c r="M90" s="946"/>
      <c r="N90" s="946"/>
      <c r="O90" s="946"/>
      <c r="P90" s="947"/>
    </row>
    <row r="91" spans="1:16" customFormat="1" ht="12.75" customHeight="1" x14ac:dyDescent="0.2">
      <c r="A91" s="296">
        <v>71</v>
      </c>
      <c r="B91" s="876"/>
      <c r="C91" s="877"/>
      <c r="D91" s="877"/>
      <c r="E91" s="877"/>
      <c r="F91" s="878"/>
      <c r="G91" s="884"/>
      <c r="H91" s="890"/>
      <c r="I91" s="879"/>
      <c r="J91" s="880"/>
      <c r="K91" s="945"/>
      <c r="L91" s="946"/>
      <c r="M91" s="946"/>
      <c r="N91" s="946"/>
      <c r="O91" s="946"/>
      <c r="P91" s="947"/>
    </row>
    <row r="92" spans="1:16" customFormat="1" ht="12.75" customHeight="1" x14ac:dyDescent="0.2">
      <c r="A92" s="296">
        <v>72</v>
      </c>
      <c r="B92" s="876"/>
      <c r="C92" s="877"/>
      <c r="D92" s="877"/>
      <c r="E92" s="877"/>
      <c r="F92" s="878"/>
      <c r="G92" s="884"/>
      <c r="H92" s="890"/>
      <c r="I92" s="879"/>
      <c r="J92" s="880"/>
      <c r="K92" s="945"/>
      <c r="L92" s="946"/>
      <c r="M92" s="946"/>
      <c r="N92" s="946"/>
      <c r="O92" s="946"/>
      <c r="P92" s="947"/>
    </row>
    <row r="93" spans="1:16" customFormat="1" ht="12.75" customHeight="1" x14ac:dyDescent="0.2">
      <c r="A93" s="296">
        <v>73</v>
      </c>
      <c r="B93" s="876"/>
      <c r="C93" s="877"/>
      <c r="D93" s="877"/>
      <c r="E93" s="877"/>
      <c r="F93" s="878"/>
      <c r="G93" s="884"/>
      <c r="H93" s="890"/>
      <c r="I93" s="879"/>
      <c r="J93" s="880"/>
      <c r="K93" s="945"/>
      <c r="L93" s="946"/>
      <c r="M93" s="946"/>
      <c r="N93" s="946"/>
      <c r="O93" s="946"/>
      <c r="P93" s="947"/>
    </row>
    <row r="94" spans="1:16" customFormat="1" ht="12.75" customHeight="1" x14ac:dyDescent="0.2">
      <c r="A94" s="296">
        <v>74</v>
      </c>
      <c r="B94" s="876"/>
      <c r="C94" s="877"/>
      <c r="D94" s="877"/>
      <c r="E94" s="877"/>
      <c r="F94" s="878"/>
      <c r="G94" s="884"/>
      <c r="H94" s="890"/>
      <c r="I94" s="879"/>
      <c r="J94" s="880"/>
      <c r="K94" s="945"/>
      <c r="L94" s="946"/>
      <c r="M94" s="946"/>
      <c r="N94" s="946"/>
      <c r="O94" s="946"/>
      <c r="P94" s="947"/>
    </row>
    <row r="95" spans="1:16" customFormat="1" ht="12.75" customHeight="1" x14ac:dyDescent="0.2">
      <c r="A95" s="296">
        <v>75</v>
      </c>
      <c r="B95" s="876"/>
      <c r="C95" s="877"/>
      <c r="D95" s="877"/>
      <c r="E95" s="877"/>
      <c r="F95" s="878"/>
      <c r="G95" s="884"/>
      <c r="H95" s="890"/>
      <c r="I95" s="879"/>
      <c r="J95" s="880"/>
      <c r="K95" s="945"/>
      <c r="L95" s="946"/>
      <c r="M95" s="946"/>
      <c r="N95" s="946"/>
      <c r="O95" s="946"/>
      <c r="P95" s="947"/>
    </row>
    <row r="96" spans="1:16" customFormat="1" ht="12.75" customHeight="1" x14ac:dyDescent="0.2">
      <c r="A96" s="296">
        <v>76</v>
      </c>
      <c r="B96" s="876"/>
      <c r="C96" s="877"/>
      <c r="D96" s="877"/>
      <c r="E96" s="877"/>
      <c r="F96" s="878"/>
      <c r="G96" s="884"/>
      <c r="H96" s="890"/>
      <c r="I96" s="879"/>
      <c r="J96" s="880"/>
      <c r="K96" s="945"/>
      <c r="L96" s="946"/>
      <c r="M96" s="946"/>
      <c r="N96" s="946"/>
      <c r="O96" s="946"/>
      <c r="P96" s="947"/>
    </row>
    <row r="97" spans="1:16" customFormat="1" ht="12.75" customHeight="1" x14ac:dyDescent="0.2">
      <c r="A97" s="296">
        <v>77</v>
      </c>
      <c r="B97" s="876"/>
      <c r="C97" s="877"/>
      <c r="D97" s="877"/>
      <c r="E97" s="877"/>
      <c r="F97" s="878"/>
      <c r="G97" s="884"/>
      <c r="H97" s="890"/>
      <c r="I97" s="879"/>
      <c r="J97" s="880"/>
      <c r="K97" s="945"/>
      <c r="L97" s="946"/>
      <c r="M97" s="946"/>
      <c r="N97" s="946"/>
      <c r="O97" s="946"/>
      <c r="P97" s="947"/>
    </row>
    <row r="98" spans="1:16" customFormat="1" ht="12.75" customHeight="1" x14ac:dyDescent="0.2">
      <c r="A98" s="296">
        <v>78</v>
      </c>
      <c r="B98" s="876"/>
      <c r="C98" s="877"/>
      <c r="D98" s="877"/>
      <c r="E98" s="877"/>
      <c r="F98" s="878"/>
      <c r="G98" s="884"/>
      <c r="H98" s="890"/>
      <c r="I98" s="879"/>
      <c r="J98" s="880"/>
      <c r="K98" s="945"/>
      <c r="L98" s="946"/>
      <c r="M98" s="946"/>
      <c r="N98" s="946"/>
      <c r="O98" s="946"/>
      <c r="P98" s="947"/>
    </row>
    <row r="99" spans="1:16" customFormat="1" ht="12.75" customHeight="1" x14ac:dyDescent="0.2">
      <c r="A99" s="296">
        <v>79</v>
      </c>
      <c r="B99" s="876"/>
      <c r="C99" s="877"/>
      <c r="D99" s="877"/>
      <c r="E99" s="877"/>
      <c r="F99" s="878"/>
      <c r="G99" s="884"/>
      <c r="H99" s="890"/>
      <c r="I99" s="879"/>
      <c r="J99" s="880"/>
      <c r="K99" s="945"/>
      <c r="L99" s="946"/>
      <c r="M99" s="946"/>
      <c r="N99" s="946"/>
      <c r="O99" s="946"/>
      <c r="P99" s="947"/>
    </row>
    <row r="100" spans="1:16" customFormat="1" ht="12.75" customHeight="1" x14ac:dyDescent="0.2">
      <c r="A100" s="296">
        <v>80</v>
      </c>
      <c r="B100" s="876"/>
      <c r="C100" s="877"/>
      <c r="D100" s="877"/>
      <c r="E100" s="877"/>
      <c r="F100" s="878"/>
      <c r="G100" s="884"/>
      <c r="H100" s="890"/>
      <c r="I100" s="879"/>
      <c r="J100" s="880"/>
      <c r="K100" s="945"/>
      <c r="L100" s="946"/>
      <c r="M100" s="946"/>
      <c r="N100" s="946"/>
      <c r="O100" s="946"/>
      <c r="P100" s="947"/>
    </row>
    <row r="101" spans="1:16" customFormat="1" ht="12.75" customHeight="1" x14ac:dyDescent="0.2">
      <c r="A101" s="296">
        <v>81</v>
      </c>
      <c r="B101" s="876"/>
      <c r="C101" s="877"/>
      <c r="D101" s="877"/>
      <c r="E101" s="877"/>
      <c r="F101" s="878"/>
      <c r="G101" s="884"/>
      <c r="H101" s="890"/>
      <c r="I101" s="879"/>
      <c r="J101" s="880"/>
      <c r="K101" s="945"/>
      <c r="L101" s="946"/>
      <c r="M101" s="946"/>
      <c r="N101" s="946"/>
      <c r="O101" s="946"/>
      <c r="P101" s="947"/>
    </row>
    <row r="102" spans="1:16" customFormat="1" ht="12.75" customHeight="1" x14ac:dyDescent="0.2">
      <c r="A102" s="296">
        <v>82</v>
      </c>
      <c r="B102" s="876"/>
      <c r="C102" s="877"/>
      <c r="D102" s="877"/>
      <c r="E102" s="877"/>
      <c r="F102" s="878"/>
      <c r="G102" s="884"/>
      <c r="H102" s="885"/>
      <c r="I102" s="879"/>
      <c r="J102" s="880"/>
      <c r="K102" s="886"/>
      <c r="L102" s="886"/>
      <c r="M102" s="886"/>
      <c r="N102" s="886"/>
      <c r="O102" s="886"/>
      <c r="P102" s="887"/>
    </row>
    <row r="103" spans="1:16" customFormat="1" ht="12.75" customHeight="1" x14ac:dyDescent="0.2">
      <c r="A103" s="296">
        <v>83</v>
      </c>
      <c r="B103" s="876"/>
      <c r="C103" s="877"/>
      <c r="D103" s="877"/>
      <c r="E103" s="877"/>
      <c r="F103" s="878"/>
      <c r="G103" s="884"/>
      <c r="H103" s="885"/>
      <c r="I103" s="879"/>
      <c r="J103" s="880"/>
      <c r="K103" s="886"/>
      <c r="L103" s="886"/>
      <c r="M103" s="886"/>
      <c r="N103" s="886"/>
      <c r="O103" s="886"/>
      <c r="P103" s="887"/>
    </row>
    <row r="104" spans="1:16" customFormat="1" ht="12.75" customHeight="1" x14ac:dyDescent="0.2">
      <c r="A104" s="296">
        <v>84</v>
      </c>
      <c r="B104" s="876"/>
      <c r="C104" s="877"/>
      <c r="D104" s="877"/>
      <c r="E104" s="877"/>
      <c r="F104" s="878"/>
      <c r="G104" s="884"/>
      <c r="H104" s="885"/>
      <c r="I104" s="879"/>
      <c r="J104" s="880"/>
      <c r="K104" s="886"/>
      <c r="L104" s="886"/>
      <c r="M104" s="886"/>
      <c r="N104" s="886"/>
      <c r="O104" s="886"/>
      <c r="P104" s="887"/>
    </row>
    <row r="105" spans="1:16" customFormat="1" ht="12.75" customHeight="1" x14ac:dyDescent="0.2">
      <c r="A105" s="296">
        <v>85</v>
      </c>
      <c r="B105" s="876"/>
      <c r="C105" s="877"/>
      <c r="D105" s="877"/>
      <c r="E105" s="877"/>
      <c r="F105" s="878"/>
      <c r="G105" s="884"/>
      <c r="H105" s="885"/>
      <c r="I105" s="879"/>
      <c r="J105" s="880"/>
      <c r="K105" s="886"/>
      <c r="L105" s="886"/>
      <c r="M105" s="886"/>
      <c r="N105" s="886"/>
      <c r="O105" s="886"/>
      <c r="P105" s="887"/>
    </row>
    <row r="106" spans="1:16" customFormat="1" ht="12.75" customHeight="1" x14ac:dyDescent="0.2">
      <c r="A106" s="296">
        <v>86</v>
      </c>
      <c r="B106" s="876"/>
      <c r="C106" s="877"/>
      <c r="D106" s="877"/>
      <c r="E106" s="877"/>
      <c r="F106" s="878"/>
      <c r="G106" s="884"/>
      <c r="H106" s="885"/>
      <c r="I106" s="879"/>
      <c r="J106" s="880"/>
      <c r="K106" s="886"/>
      <c r="L106" s="886"/>
      <c r="M106" s="886"/>
      <c r="N106" s="886"/>
      <c r="O106" s="886"/>
      <c r="P106" s="887"/>
    </row>
    <row r="107" spans="1:16" customFormat="1" ht="12.75" customHeight="1" thickBot="1" x14ac:dyDescent="0.25">
      <c r="A107" s="447">
        <v>87</v>
      </c>
      <c r="B107" s="891" t="s">
        <v>160</v>
      </c>
      <c r="C107" s="892"/>
      <c r="D107" s="892"/>
      <c r="E107" s="892"/>
      <c r="F107" s="893"/>
      <c r="G107" s="903">
        <f>SUM(G89:H106)</f>
        <v>0</v>
      </c>
      <c r="H107" s="904"/>
      <c r="I107" s="943">
        <f>SUM(I89:J106)</f>
        <v>0</v>
      </c>
      <c r="J107" s="944"/>
      <c r="K107" s="952" t="s">
        <v>160</v>
      </c>
      <c r="L107" s="953"/>
      <c r="M107" s="953"/>
      <c r="N107" s="953"/>
      <c r="O107" s="953"/>
      <c r="P107" s="954"/>
    </row>
    <row r="108" spans="1:16" customFormat="1" ht="12.75" customHeight="1" x14ac:dyDescent="0.2">
      <c r="A108" s="446"/>
      <c r="B108" s="894"/>
      <c r="C108" s="895"/>
      <c r="D108" s="895"/>
      <c r="E108" s="895"/>
      <c r="F108" s="897"/>
      <c r="G108" s="894" t="s">
        <v>172</v>
      </c>
      <c r="H108" s="895"/>
      <c r="I108" s="912" t="s">
        <v>306</v>
      </c>
      <c r="J108" s="683"/>
      <c r="K108" s="948"/>
      <c r="L108" s="948"/>
      <c r="M108" s="948"/>
      <c r="N108" s="948"/>
      <c r="O108" s="948"/>
      <c r="P108" s="949"/>
    </row>
    <row r="109" spans="1:16" customFormat="1" ht="12.75" customHeight="1" x14ac:dyDescent="0.2">
      <c r="A109" s="296"/>
      <c r="B109" s="894" t="s">
        <v>199</v>
      </c>
      <c r="C109" s="895"/>
      <c r="D109" s="895"/>
      <c r="E109" s="895"/>
      <c r="F109" s="895"/>
      <c r="G109" s="895"/>
      <c r="H109" s="896"/>
      <c r="I109" s="950" t="s">
        <v>199</v>
      </c>
      <c r="J109" s="895"/>
      <c r="K109" s="895"/>
      <c r="L109" s="895"/>
      <c r="M109" s="895"/>
      <c r="N109" s="895"/>
      <c r="O109" s="895"/>
      <c r="P109" s="951"/>
    </row>
    <row r="110" spans="1:16" customFormat="1" ht="12.75" customHeight="1" x14ac:dyDescent="0.2">
      <c r="A110" s="296">
        <v>88</v>
      </c>
      <c r="B110" s="876"/>
      <c r="C110" s="877"/>
      <c r="D110" s="877"/>
      <c r="E110" s="877"/>
      <c r="F110" s="878"/>
      <c r="G110" s="884"/>
      <c r="H110" s="885"/>
      <c r="I110" s="879"/>
      <c r="J110" s="880"/>
      <c r="K110" s="886"/>
      <c r="L110" s="886"/>
      <c r="M110" s="886"/>
      <c r="N110" s="886"/>
      <c r="O110" s="886"/>
      <c r="P110" s="887"/>
    </row>
    <row r="111" spans="1:16" customFormat="1" ht="12.75" customHeight="1" x14ac:dyDescent="0.2">
      <c r="A111" s="296">
        <v>89</v>
      </c>
      <c r="B111" s="876"/>
      <c r="C111" s="877"/>
      <c r="D111" s="877"/>
      <c r="E111" s="877"/>
      <c r="F111" s="878"/>
      <c r="G111" s="884"/>
      <c r="H111" s="885"/>
      <c r="I111" s="879"/>
      <c r="J111" s="880"/>
      <c r="K111" s="886"/>
      <c r="L111" s="886"/>
      <c r="M111" s="886"/>
      <c r="N111" s="886"/>
      <c r="O111" s="886"/>
      <c r="P111" s="887"/>
    </row>
    <row r="112" spans="1:16" customFormat="1" ht="12.75" customHeight="1" x14ac:dyDescent="0.2">
      <c r="A112" s="296">
        <v>90</v>
      </c>
      <c r="B112" s="876"/>
      <c r="C112" s="877"/>
      <c r="D112" s="877"/>
      <c r="E112" s="877"/>
      <c r="F112" s="878"/>
      <c r="G112" s="884"/>
      <c r="H112" s="885"/>
      <c r="I112" s="879"/>
      <c r="J112" s="880"/>
      <c r="K112" s="886"/>
      <c r="L112" s="886"/>
      <c r="M112" s="886"/>
      <c r="N112" s="886"/>
      <c r="O112" s="886"/>
      <c r="P112" s="887"/>
    </row>
    <row r="113" spans="1:16" customFormat="1" ht="12.75" customHeight="1" x14ac:dyDescent="0.2">
      <c r="A113" s="296">
        <v>91</v>
      </c>
      <c r="B113" s="876"/>
      <c r="C113" s="877"/>
      <c r="D113" s="877"/>
      <c r="E113" s="877"/>
      <c r="F113" s="878"/>
      <c r="G113" s="884"/>
      <c r="H113" s="885"/>
      <c r="I113" s="879"/>
      <c r="J113" s="880"/>
      <c r="K113" s="886"/>
      <c r="L113" s="886"/>
      <c r="M113" s="886"/>
      <c r="N113" s="886"/>
      <c r="O113" s="886"/>
      <c r="P113" s="887"/>
    </row>
    <row r="114" spans="1:16" customFormat="1" ht="12.75" customHeight="1" x14ac:dyDescent="0.2">
      <c r="A114" s="296">
        <v>92</v>
      </c>
      <c r="B114" s="900"/>
      <c r="C114" s="901"/>
      <c r="D114" s="901"/>
      <c r="E114" s="901"/>
      <c r="F114" s="902"/>
      <c r="G114" s="898"/>
      <c r="H114" s="899"/>
      <c r="I114" s="879"/>
      <c r="J114" s="880"/>
      <c r="K114" s="886"/>
      <c r="L114" s="886"/>
      <c r="M114" s="886"/>
      <c r="N114" s="886"/>
      <c r="O114" s="886"/>
      <c r="P114" s="887"/>
    </row>
    <row r="115" spans="1:16" customFormat="1" ht="12.75" customHeight="1" thickBot="1" x14ac:dyDescent="0.25">
      <c r="A115" s="296">
        <v>93</v>
      </c>
      <c r="B115" s="891" t="s">
        <v>200</v>
      </c>
      <c r="C115" s="892"/>
      <c r="D115" s="892"/>
      <c r="E115" s="892"/>
      <c r="F115" s="893"/>
      <c r="G115" s="903">
        <f>SUM(G110:H114)</f>
        <v>0</v>
      </c>
      <c r="H115" s="904"/>
      <c r="I115" s="943">
        <f>SUM(I110:J114)</f>
        <v>0</v>
      </c>
      <c r="J115" s="944"/>
      <c r="K115" s="952" t="s">
        <v>200</v>
      </c>
      <c r="L115" s="953"/>
      <c r="M115" s="953"/>
      <c r="N115" s="953"/>
      <c r="O115" s="953"/>
      <c r="P115" s="954"/>
    </row>
    <row r="116" spans="1:16" customFormat="1" ht="12.75" customHeight="1" x14ac:dyDescent="0.2">
      <c r="A116" s="297"/>
      <c r="B116" s="894"/>
      <c r="C116" s="895"/>
      <c r="D116" s="895"/>
      <c r="E116" s="895"/>
      <c r="F116" s="897"/>
      <c r="G116" s="894" t="s">
        <v>172</v>
      </c>
      <c r="H116" s="895"/>
      <c r="I116" s="912" t="s">
        <v>306</v>
      </c>
      <c r="J116" s="683"/>
      <c r="K116" s="948"/>
      <c r="L116" s="948"/>
      <c r="M116" s="948"/>
      <c r="N116" s="948"/>
      <c r="O116" s="948"/>
      <c r="P116" s="949"/>
    </row>
    <row r="117" spans="1:16" customFormat="1" ht="12.75" customHeight="1" x14ac:dyDescent="0.2">
      <c r="A117" s="296"/>
      <c r="B117" s="894" t="s">
        <v>268</v>
      </c>
      <c r="C117" s="895"/>
      <c r="D117" s="895"/>
      <c r="E117" s="895"/>
      <c r="F117" s="895"/>
      <c r="G117" s="895"/>
      <c r="H117" s="896"/>
      <c r="I117" s="950" t="s">
        <v>268</v>
      </c>
      <c r="J117" s="895"/>
      <c r="K117" s="895"/>
      <c r="L117" s="895"/>
      <c r="M117" s="895"/>
      <c r="N117" s="895"/>
      <c r="O117" s="895"/>
      <c r="P117" s="951"/>
    </row>
    <row r="118" spans="1:16" customFormat="1" ht="12.75" customHeight="1" x14ac:dyDescent="0.2">
      <c r="A118" s="296">
        <v>94</v>
      </c>
      <c r="B118" s="876"/>
      <c r="C118" s="877"/>
      <c r="D118" s="877"/>
      <c r="E118" s="877"/>
      <c r="F118" s="878"/>
      <c r="G118" s="884"/>
      <c r="H118" s="885"/>
      <c r="I118" s="879"/>
      <c r="J118" s="880"/>
      <c r="K118" s="886"/>
      <c r="L118" s="886"/>
      <c r="M118" s="886"/>
      <c r="N118" s="886"/>
      <c r="O118" s="886"/>
      <c r="P118" s="887"/>
    </row>
    <row r="119" spans="1:16" customFormat="1" ht="12.75" customHeight="1" x14ac:dyDescent="0.2">
      <c r="A119" s="296">
        <v>95</v>
      </c>
      <c r="B119" s="876"/>
      <c r="C119" s="877"/>
      <c r="D119" s="877"/>
      <c r="E119" s="877"/>
      <c r="F119" s="878"/>
      <c r="G119" s="884"/>
      <c r="H119" s="885"/>
      <c r="I119" s="879"/>
      <c r="J119" s="880"/>
      <c r="K119" s="886"/>
      <c r="L119" s="886"/>
      <c r="M119" s="886"/>
      <c r="N119" s="886"/>
      <c r="O119" s="886"/>
      <c r="P119" s="887"/>
    </row>
    <row r="120" spans="1:16" customFormat="1" ht="12.75" customHeight="1" x14ac:dyDescent="0.2">
      <c r="A120" s="296">
        <v>96</v>
      </c>
      <c r="B120" s="876"/>
      <c r="C120" s="877"/>
      <c r="D120" s="877"/>
      <c r="E120" s="877"/>
      <c r="F120" s="878"/>
      <c r="G120" s="884"/>
      <c r="H120" s="885"/>
      <c r="I120" s="879"/>
      <c r="J120" s="880"/>
      <c r="K120" s="886"/>
      <c r="L120" s="886"/>
      <c r="M120" s="886"/>
      <c r="N120" s="886"/>
      <c r="O120" s="886"/>
      <c r="P120" s="887"/>
    </row>
    <row r="121" spans="1:16" customFormat="1" ht="12.75" customHeight="1" x14ac:dyDescent="0.2">
      <c r="A121" s="296">
        <v>97</v>
      </c>
      <c r="B121" s="876"/>
      <c r="C121" s="877"/>
      <c r="D121" s="877"/>
      <c r="E121" s="877"/>
      <c r="F121" s="878"/>
      <c r="G121" s="884"/>
      <c r="H121" s="885"/>
      <c r="I121" s="879"/>
      <c r="J121" s="880"/>
      <c r="K121" s="886"/>
      <c r="L121" s="886"/>
      <c r="M121" s="886"/>
      <c r="N121" s="886"/>
      <c r="O121" s="886"/>
      <c r="P121" s="887"/>
    </row>
    <row r="122" spans="1:16" customFormat="1" ht="12.75" customHeight="1" x14ac:dyDescent="0.2">
      <c r="A122" s="296">
        <v>98</v>
      </c>
      <c r="B122" s="876"/>
      <c r="C122" s="877"/>
      <c r="D122" s="877"/>
      <c r="E122" s="877"/>
      <c r="F122" s="878"/>
      <c r="G122" s="884"/>
      <c r="H122" s="885"/>
      <c r="I122" s="879"/>
      <c r="J122" s="880"/>
      <c r="K122" s="886"/>
      <c r="L122" s="886"/>
      <c r="M122" s="886"/>
      <c r="N122" s="886"/>
      <c r="O122" s="886"/>
      <c r="P122" s="887"/>
    </row>
    <row r="123" spans="1:16" customFormat="1" ht="12.75" customHeight="1" x14ac:dyDescent="0.2">
      <c r="A123" s="296">
        <v>99</v>
      </c>
      <c r="B123" s="876"/>
      <c r="C123" s="877"/>
      <c r="D123" s="877"/>
      <c r="E123" s="877"/>
      <c r="F123" s="878"/>
      <c r="G123" s="884"/>
      <c r="H123" s="885"/>
      <c r="I123" s="879"/>
      <c r="J123" s="880"/>
      <c r="K123" s="886"/>
      <c r="L123" s="886"/>
      <c r="M123" s="886"/>
      <c r="N123" s="886"/>
      <c r="O123" s="886"/>
      <c r="P123" s="887"/>
    </row>
    <row r="124" spans="1:16" customFormat="1" ht="12.75" customHeight="1" thickBot="1" x14ac:dyDescent="0.25">
      <c r="A124" s="313">
        <v>100</v>
      </c>
      <c r="B124" s="909" t="s">
        <v>269</v>
      </c>
      <c r="C124" s="910"/>
      <c r="D124" s="910"/>
      <c r="E124" s="910"/>
      <c r="F124" s="911"/>
      <c r="G124" s="907">
        <f>SUM(G118:H123)</f>
        <v>0</v>
      </c>
      <c r="H124" s="908"/>
      <c r="I124" s="905">
        <f>SUM(I118:J123)</f>
        <v>0</v>
      </c>
      <c r="J124" s="906"/>
      <c r="K124" s="955" t="s">
        <v>269</v>
      </c>
      <c r="L124" s="956"/>
      <c r="M124" s="956"/>
      <c r="N124" s="956"/>
      <c r="O124" s="956"/>
      <c r="P124" s="957"/>
    </row>
    <row r="125" spans="1:16" ht="13.5" thickTop="1" x14ac:dyDescent="0.2"/>
  </sheetData>
  <sheetProtection algorithmName="SHA-512" hashValue="1W2I57BRfSZZh3SQgaB17twMgyOUkONxM0mQNby8FIcEn7JsMH6pssLG48WeE4I+TUJ+TMYDZH8Iy1ryc2zhLQ==" saltValue="RkIQlqkgyI08GOVqGSTtFg==" spinCount="100000" sheet="1" objects="1" scenarios="1"/>
  <mergeCells count="316">
    <mergeCell ref="K104:P104"/>
    <mergeCell ref="I90:J90"/>
    <mergeCell ref="I91:J91"/>
    <mergeCell ref="K99:P99"/>
    <mergeCell ref="K100:P100"/>
    <mergeCell ref="I97:J97"/>
    <mergeCell ref="K91:P91"/>
    <mergeCell ref="K71:P71"/>
    <mergeCell ref="I66:J66"/>
    <mergeCell ref="I68:J68"/>
    <mergeCell ref="I69:J69"/>
    <mergeCell ref="K76:P76"/>
    <mergeCell ref="K77:P77"/>
    <mergeCell ref="K78:P78"/>
    <mergeCell ref="K79:P79"/>
    <mergeCell ref="K72:P72"/>
    <mergeCell ref="K73:P73"/>
    <mergeCell ref="K74:P74"/>
    <mergeCell ref="K75:P75"/>
    <mergeCell ref="I79:J79"/>
    <mergeCell ref="K86:P86"/>
    <mergeCell ref="I83:J83"/>
    <mergeCell ref="I85:J85"/>
    <mergeCell ref="I84:J84"/>
    <mergeCell ref="K124:P124"/>
    <mergeCell ref="K120:P120"/>
    <mergeCell ref="K121:P121"/>
    <mergeCell ref="K123:P123"/>
    <mergeCell ref="K105:P105"/>
    <mergeCell ref="K119:P119"/>
    <mergeCell ref="K81:P81"/>
    <mergeCell ref="K82:P82"/>
    <mergeCell ref="K83:P83"/>
    <mergeCell ref="K84:P84"/>
    <mergeCell ref="K85:P85"/>
    <mergeCell ref="K94:P94"/>
    <mergeCell ref="K95:P95"/>
    <mergeCell ref="K96:P96"/>
    <mergeCell ref="I88:P88"/>
    <mergeCell ref="K102:P102"/>
    <mergeCell ref="I112:J112"/>
    <mergeCell ref="I113:J113"/>
    <mergeCell ref="I114:J114"/>
    <mergeCell ref="K101:P101"/>
    <mergeCell ref="K93:P93"/>
    <mergeCell ref="K112:P112"/>
    <mergeCell ref="K113:P113"/>
    <mergeCell ref="I92:J92"/>
    <mergeCell ref="K122:P122"/>
    <mergeCell ref="K116:P116"/>
    <mergeCell ref="I109:P109"/>
    <mergeCell ref="I115:J115"/>
    <mergeCell ref="I105:J105"/>
    <mergeCell ref="K92:P92"/>
    <mergeCell ref="I108:J108"/>
    <mergeCell ref="I99:J99"/>
    <mergeCell ref="I100:J100"/>
    <mergeCell ref="K107:P107"/>
    <mergeCell ref="I103:J103"/>
    <mergeCell ref="K111:P111"/>
    <mergeCell ref="K110:P110"/>
    <mergeCell ref="K108:P108"/>
    <mergeCell ref="I118:J118"/>
    <mergeCell ref="I106:J106"/>
    <mergeCell ref="I107:J107"/>
    <mergeCell ref="I119:J119"/>
    <mergeCell ref="I117:P117"/>
    <mergeCell ref="K115:P115"/>
    <mergeCell ref="K114:P114"/>
    <mergeCell ref="K118:P118"/>
    <mergeCell ref="K106:P106"/>
    <mergeCell ref="K103:P103"/>
    <mergeCell ref="K97:P97"/>
    <mergeCell ref="K98:P98"/>
    <mergeCell ref="I101:J101"/>
    <mergeCell ref="I93:J93"/>
    <mergeCell ref="I94:J94"/>
    <mergeCell ref="I96:J96"/>
    <mergeCell ref="I95:J95"/>
    <mergeCell ref="G101:H101"/>
    <mergeCell ref="B101:F101"/>
    <mergeCell ref="G95:H95"/>
    <mergeCell ref="B94:F94"/>
    <mergeCell ref="G94:H94"/>
    <mergeCell ref="B89:F89"/>
    <mergeCell ref="G92:H92"/>
    <mergeCell ref="B90:F90"/>
    <mergeCell ref="K89:P89"/>
    <mergeCell ref="K90:P90"/>
    <mergeCell ref="B92:F92"/>
    <mergeCell ref="B93:F93"/>
    <mergeCell ref="B82:F82"/>
    <mergeCell ref="K87:P87"/>
    <mergeCell ref="I78:J78"/>
    <mergeCell ref="I80:J80"/>
    <mergeCell ref="I81:J81"/>
    <mergeCell ref="K80:P80"/>
    <mergeCell ref="I82:J82"/>
    <mergeCell ref="G87:H87"/>
    <mergeCell ref="I86:J86"/>
    <mergeCell ref="I87:J87"/>
    <mergeCell ref="B83:F83"/>
    <mergeCell ref="G86:H86"/>
    <mergeCell ref="G85:H85"/>
    <mergeCell ref="B84:F84"/>
    <mergeCell ref="B85:F85"/>
    <mergeCell ref="B80:F80"/>
    <mergeCell ref="B39:C39"/>
    <mergeCell ref="I73:J73"/>
    <mergeCell ref="I89:J89"/>
    <mergeCell ref="G100:H100"/>
    <mergeCell ref="B100:F100"/>
    <mergeCell ref="G102:H102"/>
    <mergeCell ref="B99:F99"/>
    <mergeCell ref="I98:J98"/>
    <mergeCell ref="I102:J102"/>
    <mergeCell ref="B102:F102"/>
    <mergeCell ref="B96:F96"/>
    <mergeCell ref="G96:H96"/>
    <mergeCell ref="G99:H99"/>
    <mergeCell ref="G98:H98"/>
    <mergeCell ref="B97:F97"/>
    <mergeCell ref="B98:F98"/>
    <mergeCell ref="G97:H97"/>
    <mergeCell ref="B95:F95"/>
    <mergeCell ref="B87:F87"/>
    <mergeCell ref="G89:H89"/>
    <mergeCell ref="B88:H88"/>
    <mergeCell ref="G79:H79"/>
    <mergeCell ref="G80:H80"/>
    <mergeCell ref="G78:H78"/>
    <mergeCell ref="I71:J71"/>
    <mergeCell ref="I72:J72"/>
    <mergeCell ref="I74:J74"/>
    <mergeCell ref="I75:J75"/>
    <mergeCell ref="G73:H73"/>
    <mergeCell ref="G74:H74"/>
    <mergeCell ref="G75:H75"/>
    <mergeCell ref="B33:C33"/>
    <mergeCell ref="B43:C43"/>
    <mergeCell ref="B47:C47"/>
    <mergeCell ref="B37:C37"/>
    <mergeCell ref="B73:F73"/>
    <mergeCell ref="B74:F74"/>
    <mergeCell ref="B75:F75"/>
    <mergeCell ref="B36:C36"/>
    <mergeCell ref="B46:C46"/>
    <mergeCell ref="B44:C44"/>
    <mergeCell ref="B41:C41"/>
    <mergeCell ref="B50:C50"/>
    <mergeCell ref="B48:C48"/>
    <mergeCell ref="B63:C63"/>
    <mergeCell ref="B49:C49"/>
    <mergeCell ref="B52:C52"/>
    <mergeCell ref="G66:H66"/>
    <mergeCell ref="G68:H68"/>
    <mergeCell ref="G69:H69"/>
    <mergeCell ref="B55:C55"/>
    <mergeCell ref="B78:F78"/>
    <mergeCell ref="G76:H76"/>
    <mergeCell ref="G77:H77"/>
    <mergeCell ref="B76:F76"/>
    <mergeCell ref="B77:F77"/>
    <mergeCell ref="G71:H71"/>
    <mergeCell ref="G72:H72"/>
    <mergeCell ref="B66:F66"/>
    <mergeCell ref="B68:F68"/>
    <mergeCell ref="B64:C64"/>
    <mergeCell ref="B56:C56"/>
    <mergeCell ref="B71:F71"/>
    <mergeCell ref="B72:F72"/>
    <mergeCell ref="A66:A67"/>
    <mergeCell ref="L4:M4"/>
    <mergeCell ref="L5:M5"/>
    <mergeCell ref="B14:C14"/>
    <mergeCell ref="B29:C29"/>
    <mergeCell ref="B30:C30"/>
    <mergeCell ref="B11:C11"/>
    <mergeCell ref="B28:C28"/>
    <mergeCell ref="B27:C27"/>
    <mergeCell ref="B38:C38"/>
    <mergeCell ref="B34:C34"/>
    <mergeCell ref="B23:C23"/>
    <mergeCell ref="B15:C15"/>
    <mergeCell ref="B21:C21"/>
    <mergeCell ref="B32:C32"/>
    <mergeCell ref="B31:C31"/>
    <mergeCell ref="B22:C22"/>
    <mergeCell ref="E8:F8"/>
    <mergeCell ref="B57:C57"/>
    <mergeCell ref="B54:C54"/>
    <mergeCell ref="B62:C62"/>
    <mergeCell ref="H5:I5"/>
    <mergeCell ref="J7:K7"/>
    <mergeCell ref="F6:G6"/>
    <mergeCell ref="F4:G4"/>
    <mergeCell ref="K66:P66"/>
    <mergeCell ref="K68:P68"/>
    <mergeCell ref="G8:H8"/>
    <mergeCell ref="B17:C17"/>
    <mergeCell ref="B19:C19"/>
    <mergeCell ref="B18:C18"/>
    <mergeCell ref="B13:C13"/>
    <mergeCell ref="B16:C16"/>
    <mergeCell ref="B12:C12"/>
    <mergeCell ref="B20:C20"/>
    <mergeCell ref="B8:C10"/>
    <mergeCell ref="B53:C53"/>
    <mergeCell ref="B51:C51"/>
    <mergeCell ref="B42:C42"/>
    <mergeCell ref="B45:C45"/>
    <mergeCell ref="B35:C35"/>
    <mergeCell ref="B61:C61"/>
    <mergeCell ref="B59:C59"/>
    <mergeCell ref="B60:C60"/>
    <mergeCell ref="B58:C58"/>
    <mergeCell ref="N6:O6"/>
    <mergeCell ref="L7:M7"/>
    <mergeCell ref="B40:C40"/>
    <mergeCell ref="A1:P1"/>
    <mergeCell ref="A8:A10"/>
    <mergeCell ref="P8:P10"/>
    <mergeCell ref="N8:O8"/>
    <mergeCell ref="D8:D10"/>
    <mergeCell ref="B26:C26"/>
    <mergeCell ref="I8:J8"/>
    <mergeCell ref="K8:M8"/>
    <mergeCell ref="A4:B4"/>
    <mergeCell ref="A5:B5"/>
    <mergeCell ref="A6:B6"/>
    <mergeCell ref="C4:E4"/>
    <mergeCell ref="C5:E5"/>
    <mergeCell ref="C6:E6"/>
    <mergeCell ref="N5:O5"/>
    <mergeCell ref="N4:O4"/>
    <mergeCell ref="B24:C24"/>
    <mergeCell ref="B25:C25"/>
    <mergeCell ref="J4:K4"/>
    <mergeCell ref="J5:K5"/>
    <mergeCell ref="J6:K6"/>
    <mergeCell ref="H4:I4"/>
    <mergeCell ref="H6:I6"/>
    <mergeCell ref="F5:G5"/>
    <mergeCell ref="I116:J116"/>
    <mergeCell ref="G112:H112"/>
    <mergeCell ref="G113:H113"/>
    <mergeCell ref="B105:F105"/>
    <mergeCell ref="B106:F106"/>
    <mergeCell ref="B107:F107"/>
    <mergeCell ref="I110:J110"/>
    <mergeCell ref="I111:J111"/>
    <mergeCell ref="B109:H109"/>
    <mergeCell ref="G115:H115"/>
    <mergeCell ref="I123:J123"/>
    <mergeCell ref="I124:J124"/>
    <mergeCell ref="I120:J120"/>
    <mergeCell ref="G121:H121"/>
    <mergeCell ref="B120:F120"/>
    <mergeCell ref="B121:F121"/>
    <mergeCell ref="I121:J121"/>
    <mergeCell ref="I122:J122"/>
    <mergeCell ref="G120:H120"/>
    <mergeCell ref="G123:H123"/>
    <mergeCell ref="G124:H124"/>
    <mergeCell ref="G122:H122"/>
    <mergeCell ref="B122:F122"/>
    <mergeCell ref="B123:F123"/>
    <mergeCell ref="B124:F124"/>
    <mergeCell ref="B119:F119"/>
    <mergeCell ref="G116:H116"/>
    <mergeCell ref="B117:H117"/>
    <mergeCell ref="G118:H118"/>
    <mergeCell ref="G119:H119"/>
    <mergeCell ref="B116:F116"/>
    <mergeCell ref="G103:H103"/>
    <mergeCell ref="G105:H105"/>
    <mergeCell ref="G104:H104"/>
    <mergeCell ref="B104:F104"/>
    <mergeCell ref="B103:F103"/>
    <mergeCell ref="B108:F108"/>
    <mergeCell ref="B113:F113"/>
    <mergeCell ref="B112:F112"/>
    <mergeCell ref="G114:H114"/>
    <mergeCell ref="B114:F114"/>
    <mergeCell ref="B115:F115"/>
    <mergeCell ref="G106:H106"/>
    <mergeCell ref="B110:F110"/>
    <mergeCell ref="B111:F111"/>
    <mergeCell ref="G111:H111"/>
    <mergeCell ref="G110:H110"/>
    <mergeCell ref="G108:H108"/>
    <mergeCell ref="G107:H107"/>
    <mergeCell ref="L6:M6"/>
    <mergeCell ref="B118:F118"/>
    <mergeCell ref="I104:J104"/>
    <mergeCell ref="I70:J70"/>
    <mergeCell ref="I67:P67"/>
    <mergeCell ref="B69:F69"/>
    <mergeCell ref="B70:F70"/>
    <mergeCell ref="G70:H70"/>
    <mergeCell ref="K69:P69"/>
    <mergeCell ref="K70:P70"/>
    <mergeCell ref="G84:H84"/>
    <mergeCell ref="B67:H67"/>
    <mergeCell ref="G82:H82"/>
    <mergeCell ref="B91:F91"/>
    <mergeCell ref="G93:H93"/>
    <mergeCell ref="G90:H90"/>
    <mergeCell ref="G91:H91"/>
    <mergeCell ref="I76:J76"/>
    <mergeCell ref="I77:J77"/>
    <mergeCell ref="B86:F86"/>
    <mergeCell ref="G83:H83"/>
    <mergeCell ref="B79:F79"/>
    <mergeCell ref="B81:F81"/>
    <mergeCell ref="G81:H81"/>
  </mergeCells>
  <conditionalFormatting sqref="D58">
    <cfRule type="cellIs" dxfId="1" priority="2" stopIfTrue="1" operator="greaterThan">
      <formula>0.1</formula>
    </cfRule>
  </conditionalFormatting>
  <conditionalFormatting sqref="D61">
    <cfRule type="cellIs" dxfId="0" priority="1" stopIfTrue="1" operator="greaterThan">
      <formula>0.15</formula>
    </cfRule>
  </conditionalFormatting>
  <dataValidations count="22">
    <dataValidation allowBlank="1" showInputMessage="1" showErrorMessage="1" promptTitle="Acct 6990 Supportive Service Exp" prompt="Itemized expense detail must be entered beginning at Line 94 below.  The amount for this account is auto-populated from below." sqref="M62" xr:uid="{00000000-0002-0000-0700-000000000000}"/>
    <dataValidation allowBlank="1" showInputMessage="1" showErrorMessage="1" promptTitle="Acct. 6390 Misc. Admin. Exp." prompt="Itemized expense detail must be entered beginning in Line #50 below.  The amount for this account is auto-populated from below." sqref="L26:M26" xr:uid="{00000000-0002-0000-0700-000001000000}"/>
    <dataValidation allowBlank="1" showInputMessage="1" showErrorMessage="1" promptTitle="Acct 6790 Misc Tax,Lic,Perm,Ins" prompt="Provide expense description here; enter itemized amount at right. Expense descriptions should be intelligible, do not describe using &quot;Miscellaneous&quot; or &quot;Other&quot;._x000a_Total for this account will flow to Line #41 above." sqref="B110:F114" xr:uid="{00000000-0002-0000-0700-000002000000}"/>
    <dataValidation allowBlank="1" showInputMessage="1" showErrorMessage="1" promptTitle="Acct 6790 Misc Tax,Lic,Perm,Ins" prompt="Provide itemized amount here and description at left._x000a_Total for this account will flow to Line #41 above." sqref="G110:H114" xr:uid="{00000000-0002-0000-0700-000003000000}"/>
    <dataValidation allowBlank="1" showInputMessage="1" showErrorMessage="1" promptTitle="Acct. 6590 Misc. Op &amp; Maint Exp" prompt="Itemized expense detail must be entered beginning in Line #69 below.  The amount for this account is auto-populated from below." sqref="L46:M46" xr:uid="{00000000-0002-0000-0700-000004000000}"/>
    <dataValidation allowBlank="1" showInputMessage="1" showErrorMessage="1" promptTitle="Acct 6790 Misc Tax,Lic,Perm,Ins" prompt="Itemized expense detail must be entered beginning in Line #88 below.  The amount for this account is auto-populated from below." sqref="L55:M55" xr:uid="{00000000-0002-0000-0700-000005000000}"/>
    <dataValidation allowBlank="1" showInputMessage="1" showErrorMessage="1" promptTitle="6990 Other Supportive Serv Costs" prompt="Itemized expense detail must be entered beginning in Line #94 below.  The amount for this account is auto-populated from below." sqref="L62" xr:uid="{00000000-0002-0000-0700-000006000000}"/>
    <dataValidation allowBlank="1" showInputMessage="1" showErrorMessage="1" promptTitle="Acct. 6390 Misc. Admin. Exp." prompt="Provide expense description here; enter itemized amount at right. Expense descriptions should be intelligible, do not describe using &quot;Miscellaneous&quot; or &quot;Other&quot;._x000a_Total for this account will flow to Line #15 above." sqref="B68:F85" xr:uid="{00000000-0002-0000-0700-000007000000}"/>
    <dataValidation allowBlank="1" showInputMessage="1" showErrorMessage="1" promptTitle="Acct. 6390 Misc. Admin. Exp." prompt="Provide itemized amount here and description at left._x000a_Total for this account will flow to Line #15 above." sqref="G68:H85" xr:uid="{00000000-0002-0000-0700-000008000000}"/>
    <dataValidation allowBlank="1" showInputMessage="1" showErrorMessage="1" promptTitle="Acct. 6590 Misc. Op &amp; Maint Exp" prompt="Provide expense description here; enter itemized amount at right. Expense descriptions should be intelligible, do not describe using &quot;Miscellaneous&quot; or &quot;Other&quot;._x000a_Total for this account will flow to Line #33 above." sqref="B89:F106" xr:uid="{00000000-0002-0000-0700-000009000000}"/>
    <dataValidation allowBlank="1" showInputMessage="1" showErrorMessage="1" promptTitle="Acct. 6590 Misc. Op &amp; Maint Exp" prompt="Provide itemized amount here and description at left._x000a_Total for this account will flow to Line #33 above." sqref="G89:H106" xr:uid="{00000000-0002-0000-0700-00000A000000}"/>
    <dataValidation allowBlank="1" showInputMessage="1" showErrorMessage="1" promptTitle="Acct. 6390 Misc. Admin. Exp." prompt="Provide expense description here; enter itemized amount at left. Expense descriptions should be intelligible, do not describe using &quot;Miscellaneous&quot; or &quot;Other&quot;._x000a_Total for this account will flow to Line #15 above." sqref="K68:P85" xr:uid="{00000000-0002-0000-0700-00000B000000}"/>
    <dataValidation allowBlank="1" showInputMessage="1" showErrorMessage="1" promptTitle="Acct. 6390 Misc. Admin. Exp." prompt="Provide itemized amount here and description at right._x000a_Total for this account will flow to Line #15 above." sqref="I68:J85" xr:uid="{00000000-0002-0000-0700-00000C000000}"/>
    <dataValidation allowBlank="1" showInputMessage="1" showErrorMessage="1" promptTitle="Acct. 6590 Misc. Op &amp; Maint Exp" prompt="Provide itemized amount here and description at right._x000a_Total for this account will flow to Line #33 above." sqref="I89:J106" xr:uid="{00000000-0002-0000-0700-00000D000000}"/>
    <dataValidation allowBlank="1" showInputMessage="1" showErrorMessage="1" promptTitle="Acct. 6590 Misc. Op &amp; Maint Exp" prompt="Provide expense description here; enter itemized amount at left. Expense descriptions should be intelligible, do not describe using &quot;Miscellaneous&quot; or &quot;Other&quot;._x000a_Total for this account will flow to Line #33 above." sqref="K89:P106" xr:uid="{00000000-0002-0000-0700-00000E000000}"/>
    <dataValidation allowBlank="1" showInputMessage="1" showErrorMessage="1" promptTitle="Acct 6790 Misc Tax,Lic,Perm,Ins" prompt="Provide expense description here; enter itemized amount at left. Expense descriptions should be intelligible, do not describe using &quot;Miscellaneous&quot; or &quot;Other&quot;._x000a_Total for this account will flow to Line #41 above." sqref="K110:O114" xr:uid="{00000000-0002-0000-0700-00000F000000}"/>
    <dataValidation allowBlank="1" showInputMessage="1" showErrorMessage="1" promptTitle="Acct 6790 Misc Tax,Lic,Perm,Ins" prompt="Provide itemized amount here and description at right._x000a_Total for this account will flow to Line #41 above." sqref="I110:J114" xr:uid="{00000000-0002-0000-0700-000010000000}"/>
    <dataValidation allowBlank="1" showInputMessage="1" showErrorMessage="1" promptTitle="6990 Other Supportive Serv Costs" prompt="Provide expense description here, enter itemized amount at right. Expense description should be intelligible, do not describe using &quot;Miscellaneous&quot; or &quot;Other&quot;._x000a_Total for this line item will flow to Line #47 above." sqref="B118:F123" xr:uid="{00000000-0002-0000-0700-000011000000}"/>
    <dataValidation allowBlank="1" showInputMessage="1" showErrorMessage="1" promptTitle="6990 Other Supportive Serv Costs" prompt="Provide itemized amount here and description at left._x000a_Total for this account will flow to Line #47 above." sqref="G118:H123" xr:uid="{00000000-0002-0000-0700-000012000000}"/>
    <dataValidation allowBlank="1" showInputMessage="1" showErrorMessage="1" promptTitle="6990 Other Supportive Serv Costs" prompt="Provide itemized amount here and description at right._x000a_Total for this account will flow to Line #47 above." sqref="I118:J123" xr:uid="{00000000-0002-0000-0700-000013000000}"/>
    <dataValidation allowBlank="1" showInputMessage="1" showErrorMessage="1" promptTitle="6990 Other Supportive Serv Costs" prompt="Provide expense description here, enter itemized amount at left. Expense description should be intelligible, do not describe using &quot;Miscellaneous&quot; or &quot;Other&quot;._x000a_Total for this line item will flow to Line #47 above." sqref="K118:P123" xr:uid="{00000000-0002-0000-0700-000014000000}"/>
    <dataValidation errorStyle="warning" allowBlank="1" showInputMessage="1" showErrorMessage="1" sqref="A1" xr:uid="{C8D3EC63-64FE-4DB2-B84B-47822047FC35}"/>
  </dataValidations>
  <printOptions horizontalCentered="1"/>
  <pageMargins left="0.25" right="0.25" top="0.3" bottom="0.25" header="0" footer="0"/>
  <pageSetup scale="62" fitToHeight="2" orientation="landscape" r:id="rId1"/>
  <headerFooter>
    <oddHeader>&amp;L&amp;9STATE OF CALIFORNIA</oddHeader>
    <oddFooter>&amp;C&amp;9Page &amp;P of &amp;N</oddFooter>
  </headerFooter>
  <rowBreaks count="1" manualBreakCount="1">
    <brk id="6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2506" r:id="rId4" name="Check Box 218">
              <controlPr locked="0" defaultSize="0" autoFill="0" autoLine="0" autoPict="0" altText="Checkbox is for HCD use only. _x000a_AMC Fiscal Representative will use checkbox to use Sponsor Actual Commercial Expenses as HCD-Approved Actual Commercial Expenses. ">
                <anchor moveWithCells="1">
                  <from>
                    <xdr:col>9</xdr:col>
                    <xdr:colOff>219075</xdr:colOff>
                    <xdr:row>9</xdr:row>
                    <xdr:rowOff>304800</xdr:rowOff>
                  </from>
                  <to>
                    <xdr:col>9</xdr:col>
                    <xdr:colOff>533400</xdr:colOff>
                    <xdr:row>10</xdr:row>
                    <xdr:rowOff>9525</xdr:rowOff>
                  </to>
                </anchor>
              </controlPr>
            </control>
          </mc:Choice>
        </mc:AlternateContent>
        <mc:AlternateContent xmlns:mc="http://schemas.openxmlformats.org/markup-compatibility/2006">
          <mc:Choice Requires="x14">
            <control shapeId="12510" r:id="rId5" name="Check Box 222">
              <controlPr locked="0" defaultSize="0" autoFill="0" autoLine="0" autoPict="0" altText="Checkbox is for HCD use only. _x000a_AMC Fiscal Representative will use checkbox to use Sponsor Actual Project Total Costs as HCD-Approved Actual Project Total Costs. ">
                <anchor moveWithCells="1">
                  <from>
                    <xdr:col>12</xdr:col>
                    <xdr:colOff>257175</xdr:colOff>
                    <xdr:row>9</xdr:row>
                    <xdr:rowOff>295275</xdr:rowOff>
                  </from>
                  <to>
                    <xdr:col>12</xdr:col>
                    <xdr:colOff>571500</xdr:colOff>
                    <xdr:row>10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CE213191609344AAA5D7C064CBFE04" ma:contentTypeVersion="14" ma:contentTypeDescription="Create a new document." ma:contentTypeScope="" ma:versionID="b617ab5a4a74a7d5bec7090d9b0c4ab5">
  <xsd:schema xmlns:xsd="http://www.w3.org/2001/XMLSchema" xmlns:xs="http://www.w3.org/2001/XMLSchema" xmlns:p="http://schemas.microsoft.com/office/2006/metadata/properties" xmlns:ns1="http://schemas.microsoft.com/sharepoint/v3" xmlns:ns3="f8c6e0e8-a3c1-43e3-a215-cf247e4c98e7" xmlns:ns4="4b7372d8-a58a-4a4a-9bba-d89b6b07accb" targetNamespace="http://schemas.microsoft.com/office/2006/metadata/properties" ma:root="true" ma:fieldsID="db95dad2e8e3b82ad4c39bb312db99d5" ns1:_="" ns3:_="" ns4:_="">
    <xsd:import namespace="http://schemas.microsoft.com/sharepoint/v3"/>
    <xsd:import namespace="f8c6e0e8-a3c1-43e3-a215-cf247e4c98e7"/>
    <xsd:import namespace="4b7372d8-a58a-4a4a-9bba-d89b6b07accb"/>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c6e0e8-a3c1-43e3-a215-cf247e4c98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7372d8-a58a-4a4a-9bba-d89b6b07acc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49F027-9CCB-4787-B001-ACFA7D166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c6e0e8-a3c1-43e3-a215-cf247e4c98e7"/>
    <ds:schemaRef ds:uri="4b7372d8-a58a-4a4a-9bba-d89b6b07ac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F0979B-9251-4F11-B126-DE6B4C755672}">
  <ds:schemaRefs>
    <ds:schemaRef ds:uri="http://purl.org/dc/terms/"/>
    <ds:schemaRef ds:uri="http://schemas.openxmlformats.org/package/2006/metadata/core-properties"/>
    <ds:schemaRef ds:uri="http://purl.org/dc/elements/1.1/"/>
    <ds:schemaRef ds:uri="http://schemas.microsoft.com/sharepoint/v3"/>
    <ds:schemaRef ds:uri="http://purl.org/dc/dcmitype/"/>
    <ds:schemaRef ds:uri="http://www.w3.org/XML/1998/namespace"/>
    <ds:schemaRef ds:uri="http://schemas.microsoft.com/office/infopath/2007/PartnerControls"/>
    <ds:schemaRef ds:uri="http://schemas.microsoft.com/office/2006/documentManagement/types"/>
    <ds:schemaRef ds:uri="4b7372d8-a58a-4a4a-9bba-d89b6b07accb"/>
    <ds:schemaRef ds:uri="f8c6e0e8-a3c1-43e3-a215-cf247e4c98e7"/>
    <ds:schemaRef ds:uri="http://schemas.microsoft.com/office/2006/metadata/properties"/>
  </ds:schemaRefs>
</ds:datastoreItem>
</file>

<file path=customXml/itemProps3.xml><?xml version="1.0" encoding="utf-8"?>
<ds:datastoreItem xmlns:ds="http://schemas.openxmlformats.org/officeDocument/2006/customXml" ds:itemID="{BF788349-8F79-4702-A2EA-8EEAD663F901}">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1. Operating Budget Instruction</vt:lpstr>
      <vt:lpstr> 2. Checklist and Cert - 170</vt:lpstr>
      <vt:lpstr>3. Proposed Cash Flow -171</vt:lpstr>
      <vt:lpstr>4. Proposed Cost of Ops - 172</vt:lpstr>
      <vt:lpstr>5. Approved Cash Flow - 173</vt:lpstr>
      <vt:lpstr>6. Approved Cost of Ops - 174 </vt:lpstr>
      <vt:lpstr>7. Approved Proration - 175</vt:lpstr>
      <vt:lpstr>8. Actual Cash Flow-180</vt:lpstr>
      <vt:lpstr>9. Actual Cost of Ops-181</vt:lpstr>
      <vt:lpstr>Contract</vt:lpstr>
      <vt:lpstr>ContractNumber</vt:lpstr>
      <vt:lpstr>' 2. Checklist and Cert - 170'!Print_Area</vt:lpstr>
      <vt:lpstr>'1. Operating Budget Instruction'!Print_Area</vt:lpstr>
      <vt:lpstr>'3. Proposed Cash Flow -171'!Print_Area</vt:lpstr>
      <vt:lpstr>'4. Proposed Cost of Ops - 172'!Print_Area</vt:lpstr>
      <vt:lpstr>'5. Approved Cash Flow - 173'!Print_Area</vt:lpstr>
      <vt:lpstr>'6. Approved Cost of Ops - 174 '!Print_Area</vt:lpstr>
      <vt:lpstr>'7. Approved Proration - 175'!Print_Area</vt:lpstr>
      <vt:lpstr>'8. Actual Cash Flow-180'!Print_Area</vt:lpstr>
      <vt:lpstr>'9. Actual Cost of Ops-181'!Print_Area</vt:lpstr>
      <vt:lpstr>'4. Proposed Cost of Ops - 172'!Print_Titles</vt:lpstr>
      <vt:lpstr>'8. Actual Cash Flow-180'!Print_Titles</vt:lpstr>
      <vt:lpstr>'9. Actual Cost of Ops-181'!Print_Titles</vt:lpstr>
    </vt:vector>
  </TitlesOfParts>
  <Company>HCD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and Actual Operating Budgets and Cashflow</dc:title>
  <dc:subject>Housing</dc:subject>
  <dc:creator>grodine</dc:creator>
  <cp:lastModifiedBy>Alstrom, Stephenie@HCD</cp:lastModifiedBy>
  <cp:lastPrinted>2025-02-07T21:40:29Z</cp:lastPrinted>
  <dcterms:created xsi:type="dcterms:W3CDTF">2003-09-16T16:51:13Z</dcterms:created>
  <dcterms:modified xsi:type="dcterms:W3CDTF">2025-04-16T16:56:57Z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0x01010078CE213191609344AAA5D7C064CBFE04</vt:lpwstr>
  </property>
</Properties>
</file>