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X:\Projects\00xxxx\007787\_Homekey 2\"/>
    </mc:Choice>
  </mc:AlternateContent>
  <xr:revisionPtr revIDLastSave="0" documentId="8_{276D7F4A-AA2B-46A1-B3D8-D42C6015DDD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Input &amp; Output" sheetId="1" r:id="rId1"/>
    <sheet name="Calculations" sheetId="2" r:id="rId2"/>
    <sheet name="Drop Dow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2" l="1"/>
  <c r="H65" i="2"/>
  <c r="H64" i="2"/>
  <c r="H63" i="2"/>
  <c r="H62" i="2"/>
  <c r="H61" i="2"/>
  <c r="H50" i="2"/>
  <c r="H49" i="2"/>
  <c r="H48" i="2"/>
  <c r="H53" i="2"/>
  <c r="H52" i="2"/>
  <c r="H51" i="2"/>
  <c r="C58" i="2"/>
  <c r="C57" i="2"/>
  <c r="C56" i="2"/>
  <c r="F42" i="2"/>
  <c r="F41" i="2"/>
  <c r="D41" i="2"/>
  <c r="D38" i="2"/>
  <c r="D36" i="2"/>
  <c r="F37" i="2"/>
  <c r="F36" i="2"/>
  <c r="F35" i="2"/>
  <c r="F34" i="2"/>
  <c r="C31" i="2"/>
  <c r="C30" i="2"/>
  <c r="G24" i="2"/>
  <c r="G23" i="2"/>
  <c r="C21" i="2"/>
  <c r="B71" i="2"/>
  <c r="B52" i="2" l="1"/>
  <c r="G52" i="2" s="1"/>
  <c r="B51" i="2"/>
  <c r="E51" i="2" s="1"/>
  <c r="B50" i="2"/>
  <c r="B49" i="2"/>
  <c r="D49" i="2" s="1"/>
  <c r="B48" i="2"/>
  <c r="B47" i="2"/>
  <c r="G47" i="2" s="1"/>
  <c r="B46" i="2"/>
  <c r="E40" i="2"/>
  <c r="E64" i="2" s="1"/>
  <c r="G64" i="2" s="1"/>
  <c r="B31" i="2"/>
  <c r="B30" i="2"/>
  <c r="B27" i="2"/>
  <c r="B25" i="2"/>
  <c r="B22" i="2"/>
  <c r="B37" i="2" s="1"/>
  <c r="B21" i="2"/>
  <c r="B20" i="2"/>
  <c r="B19" i="2"/>
  <c r="B18" i="2"/>
  <c r="B17" i="2"/>
  <c r="B13" i="2"/>
  <c r="B12" i="2"/>
  <c r="B7" i="2"/>
  <c r="B9" i="2" s="1"/>
  <c r="B6" i="2"/>
  <c r="B8" i="2" s="1"/>
  <c r="B10" i="2" s="1"/>
  <c r="B1" i="2"/>
  <c r="C26" i="1"/>
  <c r="B26" i="2" s="1"/>
  <c r="E65" i="2" s="1"/>
  <c r="E17" i="1"/>
  <c r="G66" i="2" l="1"/>
  <c r="B39" i="2"/>
  <c r="B35" i="2"/>
  <c r="E62" i="2"/>
  <c r="G62" i="2" s="1"/>
  <c r="B45" i="2"/>
  <c r="E49" i="2"/>
  <c r="D52" i="2"/>
  <c r="D18" i="2"/>
  <c r="D47" i="2"/>
  <c r="E47" i="2"/>
  <c r="E52" i="2"/>
  <c r="D19" i="2"/>
  <c r="E23" i="2"/>
  <c r="F23" i="2" s="1"/>
  <c r="D23" i="1" s="1"/>
  <c r="B58" i="2"/>
  <c r="G65" i="2"/>
  <c r="B65" i="2" s="1"/>
  <c r="C63" i="1" s="1"/>
  <c r="B36" i="2"/>
  <c r="C51" i="2"/>
  <c r="G51" i="2"/>
  <c r="F47" i="2"/>
  <c r="G49" i="2"/>
  <c r="D51" i="2"/>
  <c r="F52" i="2"/>
  <c r="B56" i="2"/>
  <c r="F51" i="2"/>
  <c r="B14" i="2"/>
  <c r="E14" i="1" s="1"/>
  <c r="B38" i="2"/>
  <c r="F49" i="2"/>
  <c r="D22" i="2"/>
  <c r="B34" i="2"/>
  <c r="C49" i="2"/>
  <c r="E24" i="2"/>
  <c r="C47" i="2"/>
  <c r="C52" i="2"/>
  <c r="B57" i="2"/>
  <c r="E61" i="2"/>
  <c r="G61" i="2" s="1"/>
  <c r="E63" i="2"/>
  <c r="G63" i="2" s="1"/>
  <c r="B23" i="2" l="1"/>
  <c r="E53" i="2"/>
  <c r="B53" i="2" s="1"/>
  <c r="B42" i="2" s="1"/>
  <c r="D53" i="2"/>
  <c r="G53" i="2"/>
  <c r="D65" i="2"/>
  <c r="E63" i="1" s="1"/>
  <c r="F53" i="2"/>
  <c r="F24" i="2"/>
  <c r="D24" i="1" s="1"/>
  <c r="C53" i="2"/>
  <c r="B24" i="2" l="1"/>
  <c r="B61" i="2" s="1"/>
  <c r="C59" i="1" s="1"/>
  <c r="D61" i="2" l="1"/>
  <c r="E59" i="1" s="1"/>
  <c r="B62" i="2"/>
  <c r="B63" i="2" s="1"/>
  <c r="D62" i="2" l="1"/>
  <c r="E60" i="1" s="1"/>
  <c r="C60" i="1"/>
  <c r="C61" i="1"/>
  <c r="B64" i="2" l="1"/>
  <c r="D63" i="2"/>
  <c r="E61" i="1" s="1"/>
  <c r="D64" i="2" l="1"/>
  <c r="E62" i="1" s="1"/>
  <c r="C62" i="1"/>
</calcChain>
</file>

<file path=xl/sharedStrings.xml><?xml version="1.0" encoding="utf-8"?>
<sst xmlns="http://schemas.openxmlformats.org/spreadsheetml/2006/main" count="269" uniqueCount="152">
  <si>
    <t>Motel Screening tools</t>
  </si>
  <si>
    <t>Property / Location</t>
  </si>
  <si>
    <t>Location criteria</t>
  </si>
  <si>
    <t>Standard</t>
  </si>
  <si>
    <t>Setting</t>
  </si>
  <si>
    <t>Rural, Suburban, Urban, or Downtown</t>
  </si>
  <si>
    <t xml:space="preserve">a. Library: </t>
  </si>
  <si>
    <t>miles</t>
  </si>
  <si>
    <t>b. Grocery store</t>
  </si>
  <si>
    <t xml:space="preserve">c. Pharmacy: </t>
  </si>
  <si>
    <t xml:space="preserve">d. Public park: </t>
  </si>
  <si>
    <t xml:space="preserve">e. Medical clinic: </t>
  </si>
  <si>
    <t xml:space="preserve">f. Senior center: </t>
  </si>
  <si>
    <t xml:space="preserve">g. Social services for homeless: </t>
  </si>
  <si>
    <t>h. Public Transit stop or station:</t>
  </si>
  <si>
    <t>Property attributes</t>
  </si>
  <si>
    <t>Property area</t>
  </si>
  <si>
    <t>sq.ft.</t>
  </si>
  <si>
    <t>Acres</t>
  </si>
  <si>
    <t>Building footprint</t>
  </si>
  <si>
    <t>Gross building floor area</t>
  </si>
  <si>
    <t>Number of floors</t>
  </si>
  <si>
    <t>Number of elevators</t>
  </si>
  <si>
    <t>Number of guest rooms</t>
  </si>
  <si>
    <t>Existing mobility-accessible rooms</t>
  </si>
  <si>
    <t>additional rooms needed per code</t>
  </si>
  <si>
    <t>Existing comm-accessible rooms</t>
  </si>
  <si>
    <t>Add'l accessible rooms desired</t>
  </si>
  <si>
    <t>(FOR REBUILD) Number of guest rooms desired</t>
  </si>
  <si>
    <t>If unsure, assume same as current # of units</t>
  </si>
  <si>
    <t>(FOR REBUILD) Size of guest rooms desired</t>
  </si>
  <si>
    <t>If unsure,use 325 sq.ft. (typical extended stay room with kitchenette)</t>
  </si>
  <si>
    <t>Key Drivers - Site</t>
  </si>
  <si>
    <t>Length of site fencing needed</t>
  </si>
  <si>
    <t>ft.</t>
  </si>
  <si>
    <t>As needed to enclose site perimeter</t>
  </si>
  <si>
    <t>Number of vehicular gates needed</t>
  </si>
  <si>
    <t>One at each driveway</t>
  </si>
  <si>
    <t>Key Drivers - Architectural</t>
  </si>
  <si>
    <t>Wall &amp; ceiling rating</t>
  </si>
  <si>
    <t>None, 1/2 hour, 1-hour+, or Don't Know</t>
  </si>
  <si>
    <t>Fire Sprinklers in all rooms?</t>
  </si>
  <si>
    <t>Yes/No</t>
  </si>
  <si>
    <t>Fire Alarms in all rooms?</t>
  </si>
  <si>
    <t>Kitchenettes desired in Tier 1?</t>
  </si>
  <si>
    <t>Rooms are 250 sf min AND have space for kitchenettes</t>
  </si>
  <si>
    <t>Age of roof</t>
  </si>
  <si>
    <t>Years</t>
  </si>
  <si>
    <t>Key Drivers - Structural</t>
  </si>
  <si>
    <r>
      <t>Spectral Acceleration Response S</t>
    </r>
    <r>
      <rPr>
        <vertAlign val="subscript"/>
        <sz val="11"/>
        <color theme="1"/>
        <rFont val="Calibri"/>
        <family val="2"/>
        <scheme val="minor"/>
      </rPr>
      <t>S</t>
    </r>
  </si>
  <si>
    <t>g, from https://seismicmaps.org/</t>
  </si>
  <si>
    <r>
      <t>Spectral Acceleration Response S</t>
    </r>
    <r>
      <rPr>
        <vertAlign val="subscript"/>
        <sz val="11"/>
        <color theme="1"/>
        <rFont val="Calibri"/>
        <family val="2"/>
        <scheme val="minor"/>
      </rPr>
      <t>1</t>
    </r>
  </si>
  <si>
    <t>Landslide zone?</t>
  </si>
  <si>
    <t>Liquefaction zone?</t>
  </si>
  <si>
    <t>Soil rupture zone?</t>
  </si>
  <si>
    <t>Vertical Irregularity</t>
  </si>
  <si>
    <t>Severe/Moderate/None</t>
  </si>
  <si>
    <t>Plan Irregularity</t>
  </si>
  <si>
    <t>Key Drivers - Mechanical</t>
  </si>
  <si>
    <r>
      <rPr>
        <b/>
        <i/>
        <u/>
        <sz val="11"/>
        <color theme="1"/>
        <rFont val="Calibri"/>
        <family val="2"/>
        <scheme val="minor"/>
      </rPr>
      <t>Important!</t>
    </r>
    <r>
      <rPr>
        <b/>
        <i/>
        <sz val="11"/>
        <color theme="1"/>
        <rFont val="Calibri"/>
        <family val="2"/>
        <scheme val="minor"/>
      </rPr>
      <t xml:space="preserve">  Look at Google Earth and Street View to determine if property has PTACs (visible beneath individual room windows) </t>
    </r>
    <r>
      <rPr>
        <b/>
        <i/>
        <u/>
        <sz val="11"/>
        <color theme="1"/>
        <rFont val="Calibri"/>
        <family val="2"/>
        <scheme val="minor"/>
      </rPr>
      <t>or</t>
    </r>
    <r>
      <rPr>
        <b/>
        <i/>
        <sz val="11"/>
        <color theme="1"/>
        <rFont val="Calibri"/>
        <family val="2"/>
        <scheme val="minor"/>
      </rPr>
      <t xml:space="preserve"> central A/C system (large equipment on roof)</t>
    </r>
  </si>
  <si>
    <t>Pass-Thru Air Conditioners (PTACs)</t>
  </si>
  <si>
    <t>portion of system requiring replacement (enter 0 if system does not apply)</t>
  </si>
  <si>
    <t>Hot water system</t>
  </si>
  <si>
    <t>Central air conditioning system</t>
  </si>
  <si>
    <t>CONCEPTUAL CONSTRUCTION COST*</t>
  </si>
  <si>
    <t>FOR COMPARISON ONLY, DO NOT USE FOR BUDGETING PURPOSES!</t>
  </si>
  <si>
    <t>TIER 1</t>
  </si>
  <si>
    <t>Cost/Unit:</t>
  </si>
  <si>
    <t>TIER 2</t>
  </si>
  <si>
    <t>TIER 3</t>
  </si>
  <si>
    <t>TIER 4</t>
  </si>
  <si>
    <t>TIER 5</t>
  </si>
  <si>
    <r>
      <t xml:space="preserve">* </t>
    </r>
    <r>
      <rPr>
        <b/>
        <u/>
        <sz val="11"/>
        <color theme="1"/>
        <rFont val="Calibri"/>
        <family val="2"/>
        <scheme val="minor"/>
      </rPr>
      <t>Includes</t>
    </r>
    <r>
      <rPr>
        <sz val="11"/>
        <color theme="1"/>
        <rFont val="Calibri"/>
        <family val="2"/>
        <scheme val="minor"/>
      </rPr>
      <t>: GC markup, profit &amp; overhead, bonds, and design contingency</t>
    </r>
  </si>
  <si>
    <t>Distance to local services (measured in a straight line, except around barriers such as freeways, railroads, or water bodies)</t>
  </si>
  <si>
    <t>2 points within 1 mile, 3 points within 1/2 mile; double in rural areas</t>
  </si>
  <si>
    <t>1 points within 1 mile, 5 points within 1/2 mile; double in rural areas</t>
  </si>
  <si>
    <t>1 points within 1 mile, 2 points within 1/2 mile; double in rural areas</t>
  </si>
  <si>
    <t>2 points within 3/4 mile, 3 points within 1/2 mile; double in rural areas</t>
  </si>
  <si>
    <t>No points offered for Special Needs projects</t>
  </si>
  <si>
    <t xml:space="preserve">g. Social services: </t>
  </si>
  <si>
    <t>2 points within 1 mile, 3 points within 1/2 mile</t>
  </si>
  <si>
    <t>3 points within 1/2 mile, 7 points within 1/3 mile</t>
  </si>
  <si>
    <t>Site utilization:</t>
  </si>
  <si>
    <t>FAR:</t>
  </si>
  <si>
    <t>DU/acre:</t>
  </si>
  <si>
    <t>Additional accessible rooms needed</t>
  </si>
  <si>
    <t>Cost/unit</t>
  </si>
  <si>
    <t>% of accessible rooms:</t>
  </si>
  <si>
    <t>/lf</t>
  </si>
  <si>
    <t>Each</t>
  </si>
  <si>
    <t>Total cost</t>
  </si>
  <si>
    <t>Value for 1/2 hour, 1-hour+:</t>
  </si>
  <si>
    <t>Value for None, Don't Know:</t>
  </si>
  <si>
    <t>Value for Yes:</t>
  </si>
  <si>
    <t>Value for No:</t>
  </si>
  <si>
    <t>Tier 3 room count:</t>
  </si>
  <si>
    <t>Value for &lt;=10:</t>
  </si>
  <si>
    <t>Value for &gt;10:</t>
  </si>
  <si>
    <t>Assumed: W1A wood building, 1-3 stories</t>
  </si>
  <si>
    <t>Seismicity</t>
  </si>
  <si>
    <t>Very High</t>
  </si>
  <si>
    <t>High</t>
  </si>
  <si>
    <t>Moderately High</t>
  </si>
  <si>
    <t>Moderate</t>
  </si>
  <si>
    <t>Low</t>
  </si>
  <si>
    <t>Seismicity lookup</t>
  </si>
  <si>
    <r>
      <t>S</t>
    </r>
    <r>
      <rPr>
        <vertAlign val="subscript"/>
        <sz val="11"/>
        <color theme="1"/>
        <rFont val="Calibri"/>
        <family val="2"/>
        <scheme val="minor"/>
      </rPr>
      <t>S</t>
    </r>
  </si>
  <si>
    <r>
      <t>S</t>
    </r>
    <r>
      <rPr>
        <vertAlign val="subscript"/>
        <sz val="11"/>
        <color theme="1"/>
        <rFont val="Calibri"/>
        <family val="2"/>
        <scheme val="minor"/>
      </rPr>
      <t>1</t>
    </r>
  </si>
  <si>
    <t>Cost</t>
  </si>
  <si>
    <t>CONCEPTUAL COST/UNIT</t>
  </si>
  <si>
    <t>Allowance for base costs included in Tier total, not listed above</t>
  </si>
  <si>
    <t>units</t>
  </si>
  <si>
    <t>per unit</t>
  </si>
  <si>
    <t>per sq.ft</t>
  </si>
  <si>
    <t>building cost</t>
  </si>
  <si>
    <t>site cost</t>
  </si>
  <si>
    <t>Rural</t>
  </si>
  <si>
    <t>None</t>
  </si>
  <si>
    <t>Yes</t>
  </si>
  <si>
    <t>Severe</t>
  </si>
  <si>
    <t>Suburban</t>
  </si>
  <si>
    <t>1/2 hour</t>
  </si>
  <si>
    <t>No</t>
  </si>
  <si>
    <t>Urban</t>
  </si>
  <si>
    <t>1-hour+</t>
  </si>
  <si>
    <t>Downtown</t>
  </si>
  <si>
    <t>Don't Know</t>
  </si>
  <si>
    <t>Kitchen sinks desired in Tier 1?</t>
  </si>
  <si>
    <t>There is space for a kitchen sink on or near a plumbing wall</t>
  </si>
  <si>
    <r>
      <t xml:space="preserve">Answer "Yes" only if local building official does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agree to classify the property as dormitory or boarding house, and requires a sink separate from the lavatory in each unit.</t>
    </r>
  </si>
  <si>
    <t>Also select "Yes" if an outside lavatory can be moved into the bathroom and the kitchen sink located where the lavatory was.</t>
  </si>
  <si>
    <t>No.</t>
  </si>
  <si>
    <t>Number of guest rooms *</t>
  </si>
  <si>
    <t>Existing mobility-accessible rooms *</t>
  </si>
  <si>
    <t>Existing comm-accessible rooms *</t>
  </si>
  <si>
    <t>Kitchens existing in rooms?</t>
  </si>
  <si>
    <t>If yes, skip to #24</t>
  </si>
  <si>
    <r>
      <t>*</t>
    </r>
    <r>
      <rPr>
        <b/>
        <i/>
        <u/>
        <sz val="11"/>
        <color rgb="FFC00000"/>
        <rFont val="Calibri"/>
        <family val="2"/>
        <scheme val="minor"/>
      </rPr>
      <t>Excludes</t>
    </r>
    <r>
      <rPr>
        <sz val="11"/>
        <color rgb="FFC00000"/>
        <rFont val="Calibri"/>
        <family val="2"/>
        <scheme val="minor"/>
      </rPr>
      <t>:</t>
    </r>
    <r>
      <rPr>
        <i/>
        <sz val="11"/>
        <color rgb="FFC00000"/>
        <rFont val="Calibri"/>
        <family val="2"/>
        <scheme val="minor"/>
      </rPr>
      <t xml:space="preserve">  Property acquisition, financing, professional fees, permits and entitlements, operating reserve, and other soft costs</t>
    </r>
  </si>
  <si>
    <r>
      <t xml:space="preserve">* </t>
    </r>
    <r>
      <rPr>
        <u/>
        <sz val="11"/>
        <color rgb="FFC00000"/>
        <rFont val="Calibri"/>
        <family val="2"/>
        <scheme val="minor"/>
      </rPr>
      <t>Req'd fields</t>
    </r>
    <r>
      <rPr>
        <sz val="11"/>
        <color rgb="FFC00000"/>
        <rFont val="Calibri"/>
        <family val="2"/>
        <scheme val="minor"/>
      </rPr>
      <t>: #8, 9, 10</t>
    </r>
  </si>
  <si>
    <t>Distance to local services (measured in a straight line, except around barriers such as freeways, railroads, or water bodies); see CTCAC regulations</t>
  </si>
  <si>
    <t>1/2 to 1 mile max; double in rural areas (CTCAC)</t>
  </si>
  <si>
    <t>1/2 to 3/4 mile max; double in rural areas (CTCAC)</t>
  </si>
  <si>
    <t>No points offered for Special Needs projects (CTCAC)</t>
  </si>
  <si>
    <t>1/2 to 1 mile max (CTCAC)</t>
  </si>
  <si>
    <t>1/3 to 1/2 mile max. to service with 0-minute weekday frequency (CTCAC)</t>
  </si>
  <si>
    <t>Beyond code min (5% mobility-accessible, 2% communications-accessible).  Double for CTCAC</t>
  </si>
  <si>
    <t>Tier 1: Sink, microwave, mini-fridge.  Do not answer for Tier 3; the following are assumed per CTCAC: Sink, cooktop, refrigerator</t>
  </si>
  <si>
    <t>per FEMA P-154 checklist</t>
  </si>
  <si>
    <t>CTCAC points:</t>
  </si>
  <si>
    <t>Escalation</t>
  </si>
  <si>
    <t>CCCI</t>
  </si>
  <si>
    <t>Escalation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</si>
</sst>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"/>
    <numFmt numFmtId="17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 applyFont="1" applyAlignment="1">
      <alignment wrapText="1"/>
    </xf>
    <xf numFmtId="0" fontId="0" fillId="0" borderId="4" xfId="0" applyBorder="1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0" fillId="0" borderId="0" xfId="0" applyBorder="1"/>
    <xf numFmtId="0" fontId="0" fillId="0" borderId="5" xfId="0" applyBorder="1"/>
    <xf numFmtId="2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/>
    <xf numFmtId="9" fontId="0" fillId="0" borderId="4" xfId="0" applyNumberFormat="1" applyBorder="1"/>
    <xf numFmtId="0" fontId="7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4" fontId="5" fillId="0" borderId="5" xfId="1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/>
    <xf numFmtId="0" fontId="0" fillId="0" borderId="6" xfId="0" applyBorder="1"/>
    <xf numFmtId="164" fontId="0" fillId="2" borderId="4" xfId="1" applyNumberFormat="1" applyFont="1" applyFill="1" applyBorder="1"/>
    <xf numFmtId="6" fontId="0" fillId="0" borderId="0" xfId="0" applyNumberFormat="1"/>
    <xf numFmtId="164" fontId="0" fillId="3" borderId="4" xfId="1" applyNumberFormat="1" applyFont="1" applyFill="1" applyBorder="1"/>
    <xf numFmtId="10" fontId="0" fillId="0" borderId="0" xfId="2" applyNumberFormat="1" applyFont="1"/>
    <xf numFmtId="164" fontId="0" fillId="4" borderId="4" xfId="1" applyNumberFormat="1" applyFont="1" applyFill="1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0" xfId="0" applyFill="1"/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3" borderId="5" xfId="0" applyNumberFormat="1" applyFill="1" applyBorder="1"/>
    <xf numFmtId="164" fontId="0" fillId="0" borderId="5" xfId="1" applyNumberFormat="1" applyFont="1" applyBorder="1"/>
    <xf numFmtId="164" fontId="0" fillId="2" borderId="5" xfId="0" applyNumberFormat="1" applyFill="1" applyBorder="1"/>
    <xf numFmtId="164" fontId="0" fillId="4" borderId="5" xfId="0" applyNumberFormat="1" applyFill="1" applyBorder="1"/>
    <xf numFmtId="164" fontId="0" fillId="5" borderId="5" xfId="0" applyNumberFormat="1" applyFill="1" applyBorder="1"/>
    <xf numFmtId="164" fontId="0" fillId="5" borderId="5" xfId="1" applyNumberFormat="1" applyFont="1" applyFill="1" applyBorder="1"/>
    <xf numFmtId="165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/>
    <xf numFmtId="0" fontId="12" fillId="0" borderId="0" xfId="0" applyFont="1" applyAlignment="1">
      <alignment wrapText="1"/>
    </xf>
    <xf numFmtId="164" fontId="8" fillId="6" borderId="5" xfId="0" applyNumberFormat="1" applyFont="1" applyFill="1" applyBorder="1"/>
    <xf numFmtId="164" fontId="8" fillId="6" borderId="5" xfId="1" applyNumberFormat="1" applyFont="1" applyFill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Fill="1" applyBorder="1" applyAlignment="1"/>
    <xf numFmtId="164" fontId="14" fillId="0" borderId="5" xfId="1" applyNumberFormat="1" applyFont="1" applyBorder="1"/>
    <xf numFmtId="0" fontId="14" fillId="0" borderId="0" xfId="0" applyFont="1"/>
    <xf numFmtId="14" fontId="0" fillId="0" borderId="0" xfId="0" applyNumberFormat="1"/>
    <xf numFmtId="0" fontId="5" fillId="0" borderId="13" xfId="0" applyFont="1" applyFill="1" applyBorder="1" applyAlignment="1">
      <alignment horizontal="center"/>
    </xf>
    <xf numFmtId="178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4" totalsRowShown="0">
  <autoFilter ref="A1:D4" xr:uid="{00000000-0009-0000-0100-000001000000}"/>
  <tableColumns count="4">
    <tableColumn id="1" xr3:uid="{00000000-0010-0000-0000-000001000000}" name="Setting"/>
    <tableColumn id="2" xr3:uid="{00000000-0010-0000-0000-000002000000}" name="Wall &amp; ceiling rating"/>
    <tableColumn id="3" xr3:uid="{00000000-0010-0000-0000-000003000000}" name="Yes/No"/>
    <tableColumn id="4" xr3:uid="{00000000-0010-0000-0000-000004000000}" name="Vertical Irregularity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cc02.safelinks.protection.outlook.com/?url=https%3A%2F%2Fseismicmaps.org%2F&amp;data=02%7C01%7CDavid.Solomon%40dgs.ca.gov%7Cb08211b85e494e13871a08d81700a5d3%7Cea45f7b107d749a8b8f537136ec9382d%7C0%7C0%7C637284638838015368&amp;sdata=wViLJdHKPRUCsCDEJ8NcRB9zXYq6aeD25%2B1WhbfaXjg%3D&amp;reserved=0" TargetMode="External"/><Relationship Id="rId1" Type="http://schemas.openxmlformats.org/officeDocument/2006/relationships/hyperlink" Target="https://gcc02.safelinks.protection.outlook.com/?url=https%3A%2F%2Fseismicmaps.org%2F&amp;data=02%7C01%7CDavid.Solomon%40dgs.ca.gov%7Cb08211b85e494e13871a08d81700a5d3%7Cea45f7b107d749a8b8f537136ec9382d%7C0%7C0%7C637284638838015368&amp;sdata=wViLJdHKPRUCsCDEJ8NcRB9zXYq6aeD25%2B1WhbfaXjg%3D&amp;reserved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4" zoomScale="89" workbookViewId="0">
      <selection activeCell="B14" sqref="B14"/>
    </sheetView>
  </sheetViews>
  <sheetFormatPr defaultRowHeight="14.25" x14ac:dyDescent="0.45"/>
  <cols>
    <col min="1" max="1" width="3.59765625" style="47" bestFit="1" customWidth="1"/>
    <col min="2" max="2" width="30.59765625" style="7" customWidth="1"/>
    <col min="3" max="3" width="15.1328125" customWidth="1"/>
    <col min="4" max="4" width="14.59765625" customWidth="1"/>
    <col min="5" max="5" width="12.3984375" customWidth="1"/>
    <col min="6" max="6" width="10.59765625" customWidth="1"/>
  </cols>
  <sheetData>
    <row r="1" spans="1:6" x14ac:dyDescent="0.45">
      <c r="B1" s="1" t="s">
        <v>0</v>
      </c>
      <c r="C1" s="54" t="s">
        <v>1</v>
      </c>
      <c r="D1" s="55"/>
      <c r="E1" s="55"/>
      <c r="F1" s="56"/>
    </row>
    <row r="3" spans="1:6" x14ac:dyDescent="0.45">
      <c r="A3" s="48" t="s">
        <v>131</v>
      </c>
      <c r="B3" s="2" t="s">
        <v>2</v>
      </c>
      <c r="E3" s="3" t="s">
        <v>3</v>
      </c>
    </row>
    <row r="4" spans="1:6" x14ac:dyDescent="0.45">
      <c r="A4" s="47">
        <v>1</v>
      </c>
      <c r="B4" s="4" t="s">
        <v>4</v>
      </c>
      <c r="C4" s="5"/>
      <c r="D4" t="s">
        <v>5</v>
      </c>
      <c r="E4" s="3"/>
    </row>
    <row r="5" spans="1:6" x14ac:dyDescent="0.45">
      <c r="A5" s="47">
        <v>2</v>
      </c>
      <c r="B5" s="6" t="s">
        <v>139</v>
      </c>
    </row>
    <row r="6" spans="1:6" x14ac:dyDescent="0.45">
      <c r="B6" s="7" t="s">
        <v>6</v>
      </c>
      <c r="C6" s="5"/>
      <c r="D6" t="s">
        <v>7</v>
      </c>
      <c r="E6" t="s">
        <v>140</v>
      </c>
    </row>
    <row r="7" spans="1:6" ht="14.25" customHeight="1" x14ac:dyDescent="0.45">
      <c r="B7" s="7" t="s">
        <v>8</v>
      </c>
      <c r="C7" s="5"/>
      <c r="D7" t="s">
        <v>7</v>
      </c>
      <c r="E7" t="s">
        <v>140</v>
      </c>
    </row>
    <row r="8" spans="1:6" ht="14.25" customHeight="1" x14ac:dyDescent="0.45">
      <c r="B8" s="7" t="s">
        <v>9</v>
      </c>
      <c r="C8" s="5"/>
      <c r="D8" t="s">
        <v>7</v>
      </c>
      <c r="E8" t="s">
        <v>140</v>
      </c>
    </row>
    <row r="9" spans="1:6" ht="14.25" customHeight="1" x14ac:dyDescent="0.45">
      <c r="B9" s="7" t="s">
        <v>10</v>
      </c>
      <c r="C9" s="5"/>
      <c r="D9" t="s">
        <v>7</v>
      </c>
      <c r="E9" t="s">
        <v>141</v>
      </c>
    </row>
    <row r="10" spans="1:6" ht="14.25" customHeight="1" x14ac:dyDescent="0.45">
      <c r="B10" s="7" t="s">
        <v>11</v>
      </c>
      <c r="C10" s="5"/>
      <c r="D10" t="s">
        <v>7</v>
      </c>
      <c r="E10" t="s">
        <v>140</v>
      </c>
    </row>
    <row r="11" spans="1:6" ht="14.25" customHeight="1" x14ac:dyDescent="0.45">
      <c r="B11" s="7" t="s">
        <v>12</v>
      </c>
      <c r="C11" s="5"/>
      <c r="D11" t="s">
        <v>7</v>
      </c>
      <c r="E11" t="s">
        <v>142</v>
      </c>
    </row>
    <row r="12" spans="1:6" ht="14.25" customHeight="1" x14ac:dyDescent="0.45">
      <c r="B12" s="7" t="s">
        <v>13</v>
      </c>
      <c r="C12" s="5"/>
      <c r="D12" t="s">
        <v>7</v>
      </c>
      <c r="E12" t="s">
        <v>143</v>
      </c>
    </row>
    <row r="13" spans="1:6" ht="14.65" customHeight="1" thickBot="1" x14ac:dyDescent="0.5">
      <c r="B13" s="7" t="s">
        <v>14</v>
      </c>
      <c r="C13" s="5"/>
      <c r="D13" t="s">
        <v>7</v>
      </c>
      <c r="E13" t="s">
        <v>144</v>
      </c>
    </row>
    <row r="14" spans="1:6" ht="14.65" thickBot="1" x14ac:dyDescent="0.5">
      <c r="B14" s="8" t="s">
        <v>148</v>
      </c>
      <c r="C14" s="9"/>
      <c r="E14" s="10">
        <f>Calculations!B14</f>
        <v>0</v>
      </c>
    </row>
    <row r="16" spans="1:6" x14ac:dyDescent="0.45">
      <c r="B16" s="2" t="s">
        <v>15</v>
      </c>
    </row>
    <row r="17" spans="1:6" x14ac:dyDescent="0.45">
      <c r="A17" s="47">
        <v>3</v>
      </c>
      <c r="B17" s="7" t="s">
        <v>16</v>
      </c>
      <c r="C17" s="5"/>
      <c r="D17" t="s">
        <v>17</v>
      </c>
      <c r="E17" s="11">
        <f>C17/43560</f>
        <v>0</v>
      </c>
      <c r="F17" t="s">
        <v>18</v>
      </c>
    </row>
    <row r="18" spans="1:6" x14ac:dyDescent="0.45">
      <c r="A18" s="47">
        <v>4</v>
      </c>
      <c r="B18" s="7" t="s">
        <v>19</v>
      </c>
      <c r="C18" s="5"/>
      <c r="D18" t="s">
        <v>17</v>
      </c>
    </row>
    <row r="19" spans="1:6" x14ac:dyDescent="0.45">
      <c r="A19" s="47">
        <v>5</v>
      </c>
      <c r="B19" s="7" t="s">
        <v>20</v>
      </c>
      <c r="C19" s="5"/>
      <c r="D19" t="s">
        <v>17</v>
      </c>
    </row>
    <row r="20" spans="1:6" x14ac:dyDescent="0.45">
      <c r="A20" s="47">
        <v>6</v>
      </c>
      <c r="B20" s="7" t="s">
        <v>21</v>
      </c>
      <c r="C20" s="5"/>
    </row>
    <row r="21" spans="1:6" x14ac:dyDescent="0.45">
      <c r="A21" s="47">
        <v>7</v>
      </c>
      <c r="B21" s="7" t="s">
        <v>22</v>
      </c>
      <c r="C21" s="5"/>
    </row>
    <row r="22" spans="1:6" x14ac:dyDescent="0.45">
      <c r="A22" s="47">
        <v>8</v>
      </c>
      <c r="B22" s="51" t="s">
        <v>132</v>
      </c>
      <c r="C22" s="5"/>
    </row>
    <row r="23" spans="1:6" x14ac:dyDescent="0.45">
      <c r="A23" s="47">
        <v>9</v>
      </c>
      <c r="B23" s="51" t="s">
        <v>133</v>
      </c>
      <c r="C23" s="5"/>
      <c r="D23" s="59" t="str">
        <f>IFERROR(Calculations!F23,"Enter req'd fields")</f>
        <v>Enter req'd fields</v>
      </c>
      <c r="E23" t="s">
        <v>25</v>
      </c>
    </row>
    <row r="24" spans="1:6" x14ac:dyDescent="0.45">
      <c r="A24" s="47">
        <v>10</v>
      </c>
      <c r="B24" s="51" t="s">
        <v>134</v>
      </c>
      <c r="C24" s="5"/>
      <c r="D24" s="59" t="str">
        <f>IFERROR(Calculations!F24,"Enter req'd fields")</f>
        <v>Enter req'd fields</v>
      </c>
      <c r="E24" t="s">
        <v>25</v>
      </c>
    </row>
    <row r="25" spans="1:6" x14ac:dyDescent="0.45">
      <c r="A25" s="47">
        <v>11</v>
      </c>
      <c r="B25" s="7" t="s">
        <v>27</v>
      </c>
      <c r="C25" s="5"/>
      <c r="D25" t="s">
        <v>145</v>
      </c>
    </row>
    <row r="26" spans="1:6" ht="28.5" x14ac:dyDescent="0.45">
      <c r="A26" s="47">
        <v>12</v>
      </c>
      <c r="B26" s="7" t="s">
        <v>28</v>
      </c>
      <c r="C26" s="5">
        <f>C22</f>
        <v>0</v>
      </c>
      <c r="E26" t="s">
        <v>29</v>
      </c>
    </row>
    <row r="27" spans="1:6" ht="28.5" x14ac:dyDescent="0.45">
      <c r="A27" s="47">
        <v>13</v>
      </c>
      <c r="B27" s="7" t="s">
        <v>30</v>
      </c>
      <c r="C27" s="5">
        <v>325</v>
      </c>
      <c r="D27" t="s">
        <v>17</v>
      </c>
      <c r="E27" t="s">
        <v>31</v>
      </c>
    </row>
    <row r="29" spans="1:6" x14ac:dyDescent="0.45">
      <c r="B29" s="2" t="s">
        <v>32</v>
      </c>
    </row>
    <row r="30" spans="1:6" x14ac:dyDescent="0.45">
      <c r="A30" s="47">
        <v>14</v>
      </c>
      <c r="B30" s="7" t="s">
        <v>33</v>
      </c>
      <c r="C30" s="5"/>
      <c r="D30" t="s">
        <v>34</v>
      </c>
      <c r="E30" t="s">
        <v>35</v>
      </c>
    </row>
    <row r="31" spans="1:6" x14ac:dyDescent="0.45">
      <c r="A31" s="47">
        <v>15</v>
      </c>
      <c r="B31" s="7" t="s">
        <v>36</v>
      </c>
      <c r="C31" s="5"/>
      <c r="E31" t="s">
        <v>37</v>
      </c>
    </row>
    <row r="33" spans="1:10" x14ac:dyDescent="0.45">
      <c r="B33" s="2" t="s">
        <v>38</v>
      </c>
    </row>
    <row r="34" spans="1:10" x14ac:dyDescent="0.45">
      <c r="A34" s="47">
        <v>16</v>
      </c>
      <c r="B34" s="7" t="s">
        <v>39</v>
      </c>
      <c r="C34" s="5"/>
      <c r="D34" t="s">
        <v>40</v>
      </c>
    </row>
    <row r="35" spans="1:10" x14ac:dyDescent="0.45">
      <c r="A35" s="47">
        <v>17</v>
      </c>
      <c r="B35" s="7" t="s">
        <v>41</v>
      </c>
      <c r="C35" s="5"/>
      <c r="D35" t="s">
        <v>42</v>
      </c>
    </row>
    <row r="36" spans="1:10" x14ac:dyDescent="0.45">
      <c r="A36" s="47">
        <v>18</v>
      </c>
      <c r="B36" s="7" t="s">
        <v>43</v>
      </c>
      <c r="C36" s="5"/>
      <c r="D36" t="s">
        <v>42</v>
      </c>
    </row>
    <row r="37" spans="1:10" x14ac:dyDescent="0.45">
      <c r="A37" s="47">
        <v>19</v>
      </c>
      <c r="B37" s="7" t="s">
        <v>135</v>
      </c>
      <c r="C37" s="5"/>
      <c r="D37" t="s">
        <v>42</v>
      </c>
      <c r="E37" t="s">
        <v>136</v>
      </c>
    </row>
    <row r="38" spans="1:10" ht="28.7" customHeight="1" x14ac:dyDescent="0.45">
      <c r="A38" s="47">
        <v>20</v>
      </c>
      <c r="B38" s="12" t="s">
        <v>44</v>
      </c>
      <c r="C38" s="5"/>
      <c r="D38" s="13" t="s">
        <v>42</v>
      </c>
      <c r="E38" s="6" t="s">
        <v>146</v>
      </c>
      <c r="F38" s="6"/>
      <c r="G38" s="6"/>
      <c r="H38" s="6"/>
      <c r="I38" s="6"/>
      <c r="J38" s="6"/>
    </row>
    <row r="39" spans="1:10" ht="42.95" customHeight="1" x14ac:dyDescent="0.45">
      <c r="A39" s="47">
        <v>21</v>
      </c>
      <c r="B39" s="12" t="s">
        <v>127</v>
      </c>
      <c r="C39" s="5"/>
      <c r="D39" s="13" t="s">
        <v>42</v>
      </c>
      <c r="E39" s="6" t="s">
        <v>129</v>
      </c>
      <c r="F39" s="6"/>
      <c r="G39" s="6"/>
      <c r="H39" s="6"/>
      <c r="I39" s="6"/>
      <c r="J39" s="6"/>
    </row>
    <row r="40" spans="1:10" ht="28.5" x14ac:dyDescent="0.45">
      <c r="A40" s="47">
        <v>22</v>
      </c>
      <c r="B40" s="7" t="s">
        <v>45</v>
      </c>
      <c r="C40" s="5"/>
      <c r="D40" t="s">
        <v>42</v>
      </c>
    </row>
    <row r="41" spans="1:10" ht="30" customHeight="1" x14ac:dyDescent="0.45">
      <c r="A41" s="47">
        <v>23</v>
      </c>
      <c r="B41" s="7" t="s">
        <v>128</v>
      </c>
      <c r="C41" s="5"/>
      <c r="D41" t="s">
        <v>42</v>
      </c>
      <c r="E41" s="6" t="s">
        <v>130</v>
      </c>
      <c r="F41" s="6"/>
      <c r="G41" s="6"/>
      <c r="H41" s="6"/>
      <c r="I41" s="6"/>
      <c r="J41" s="6"/>
    </row>
    <row r="42" spans="1:10" x14ac:dyDescent="0.45">
      <c r="A42" s="47">
        <v>24</v>
      </c>
      <c r="B42" s="7" t="s">
        <v>46</v>
      </c>
      <c r="C42" s="5"/>
      <c r="D42" t="s">
        <v>47</v>
      </c>
    </row>
    <row r="44" spans="1:10" x14ac:dyDescent="0.45">
      <c r="B44" s="2" t="s">
        <v>48</v>
      </c>
      <c r="D44" t="s">
        <v>147</v>
      </c>
    </row>
    <row r="45" spans="1:10" ht="15.75" x14ac:dyDescent="0.55000000000000004">
      <c r="A45" s="47">
        <v>25</v>
      </c>
      <c r="B45" s="7" t="s">
        <v>49</v>
      </c>
      <c r="C45" s="5"/>
      <c r="D45" t="s">
        <v>50</v>
      </c>
    </row>
    <row r="46" spans="1:10" ht="15.75" x14ac:dyDescent="0.55000000000000004">
      <c r="B46" s="7" t="s">
        <v>51</v>
      </c>
      <c r="C46" s="5"/>
      <c r="D46" t="s">
        <v>50</v>
      </c>
    </row>
    <row r="47" spans="1:10" x14ac:dyDescent="0.45">
      <c r="A47" s="47">
        <v>26</v>
      </c>
      <c r="B47" s="7" t="s">
        <v>52</v>
      </c>
      <c r="C47" s="5"/>
      <c r="D47" t="s">
        <v>42</v>
      </c>
    </row>
    <row r="48" spans="1:10" x14ac:dyDescent="0.45">
      <c r="A48" s="47">
        <v>27</v>
      </c>
      <c r="B48" s="7" t="s">
        <v>53</v>
      </c>
      <c r="C48" s="5"/>
      <c r="D48" t="s">
        <v>42</v>
      </c>
    </row>
    <row r="49" spans="1:10" x14ac:dyDescent="0.45">
      <c r="A49" s="47">
        <v>28</v>
      </c>
      <c r="B49" s="7" t="s">
        <v>54</v>
      </c>
      <c r="C49" s="5"/>
      <c r="D49" t="s">
        <v>42</v>
      </c>
    </row>
    <row r="50" spans="1:10" x14ac:dyDescent="0.45">
      <c r="A50" s="47">
        <v>29</v>
      </c>
      <c r="B50" s="7" t="s">
        <v>55</v>
      </c>
      <c r="C50" s="5"/>
      <c r="D50" t="s">
        <v>56</v>
      </c>
    </row>
    <row r="51" spans="1:10" x14ac:dyDescent="0.45">
      <c r="A51" s="47">
        <v>30</v>
      </c>
      <c r="B51" s="7" t="s">
        <v>57</v>
      </c>
      <c r="C51" s="5"/>
      <c r="D51" t="s">
        <v>42</v>
      </c>
    </row>
    <row r="52" spans="1:10" x14ac:dyDescent="0.45">
      <c r="C52" s="9"/>
    </row>
    <row r="53" spans="1:10" ht="28.7" customHeight="1" x14ac:dyDescent="0.45">
      <c r="B53" s="14" t="s">
        <v>58</v>
      </c>
      <c r="C53" s="57" t="s">
        <v>59</v>
      </c>
      <c r="D53" s="57"/>
      <c r="E53" s="57"/>
      <c r="F53" s="57"/>
      <c r="G53" s="57"/>
      <c r="H53" s="57"/>
      <c r="I53" s="57"/>
      <c r="J53" s="57"/>
    </row>
    <row r="54" spans="1:10" x14ac:dyDescent="0.45">
      <c r="A54" s="47">
        <v>31</v>
      </c>
      <c r="B54" t="s">
        <v>60</v>
      </c>
      <c r="C54" s="15">
        <v>1</v>
      </c>
      <c r="D54" t="s">
        <v>61</v>
      </c>
    </row>
    <row r="55" spans="1:10" x14ac:dyDescent="0.45">
      <c r="A55" s="47">
        <v>32</v>
      </c>
      <c r="B55" t="s">
        <v>62</v>
      </c>
      <c r="C55" s="15">
        <v>1</v>
      </c>
      <c r="D55" t="s">
        <v>61</v>
      </c>
    </row>
    <row r="56" spans="1:10" x14ac:dyDescent="0.45">
      <c r="A56" s="47">
        <v>33</v>
      </c>
      <c r="B56" t="s">
        <v>63</v>
      </c>
      <c r="C56" s="15">
        <v>1</v>
      </c>
      <c r="D56" t="s">
        <v>61</v>
      </c>
    </row>
    <row r="58" spans="1:10" ht="28.9" thickBot="1" x14ac:dyDescent="0.5">
      <c r="B58" s="16" t="s">
        <v>64</v>
      </c>
      <c r="C58" s="49" t="s">
        <v>65</v>
      </c>
    </row>
    <row r="59" spans="1:10" ht="14.65" thickBot="1" x14ac:dyDescent="0.5">
      <c r="B59" s="17" t="s">
        <v>66</v>
      </c>
      <c r="C59" s="58" t="str">
        <f>IFERROR(Calculations!B61,"Enter req'd fields")</f>
        <v>Enter req'd fields</v>
      </c>
      <c r="D59" s="19" t="s">
        <v>67</v>
      </c>
      <c r="E59" s="58" t="str">
        <f>IFERROR(Calculations!D61,"Enter req'd fields")</f>
        <v>Enter req'd fields</v>
      </c>
    </row>
    <row r="60" spans="1:10" ht="14.65" thickBot="1" x14ac:dyDescent="0.5">
      <c r="B60" s="17" t="s">
        <v>68</v>
      </c>
      <c r="C60" s="58" t="str">
        <f>IFERROR(Calculations!B62,"Enter req'd fields")</f>
        <v>Enter req'd fields</v>
      </c>
      <c r="D60" s="19" t="s">
        <v>67</v>
      </c>
      <c r="E60" s="58" t="str">
        <f>IFERROR(Calculations!D62,"Enter req'd fields")</f>
        <v>Enter req'd fields</v>
      </c>
    </row>
    <row r="61" spans="1:10" ht="14.65" thickBot="1" x14ac:dyDescent="0.5">
      <c r="B61" s="17" t="s">
        <v>69</v>
      </c>
      <c r="C61" s="58" t="str">
        <f>IFERROR(Calculations!B63,"Enter req'd fields")</f>
        <v>Enter req'd fields</v>
      </c>
      <c r="D61" s="19" t="s">
        <v>67</v>
      </c>
      <c r="E61" s="58" t="str">
        <f>IFERROR(Calculations!D63,"Enter req'd fields")</f>
        <v>Enter req'd fields</v>
      </c>
    </row>
    <row r="62" spans="1:10" ht="14.65" thickBot="1" x14ac:dyDescent="0.5">
      <c r="B62" s="17" t="s">
        <v>70</v>
      </c>
      <c r="C62" s="58" t="str">
        <f>IFERROR(Calculations!B64,"Enter req'd fields")</f>
        <v>Enter req'd fields</v>
      </c>
      <c r="D62" s="19" t="s">
        <v>67</v>
      </c>
      <c r="E62" s="58" t="str">
        <f>IFERROR(Calculations!D64,"Enter req'd fields")</f>
        <v>Enter req'd fields</v>
      </c>
    </row>
    <row r="63" spans="1:10" ht="14.65" thickBot="1" x14ac:dyDescent="0.5">
      <c r="B63" s="17" t="s">
        <v>71</v>
      </c>
      <c r="C63" s="18">
        <f>Calculations!B65</f>
        <v>0</v>
      </c>
      <c r="D63" s="19" t="s">
        <v>67</v>
      </c>
      <c r="E63" s="58" t="str">
        <f>IFERROR(Calculations!D65,"Enter req'd fields")</f>
        <v>Enter req'd fields</v>
      </c>
    </row>
    <row r="64" spans="1:10" x14ac:dyDescent="0.45">
      <c r="B64" s="6" t="s">
        <v>72</v>
      </c>
    </row>
    <row r="65" spans="2:2" x14ac:dyDescent="0.45">
      <c r="B65" s="50" t="s">
        <v>137</v>
      </c>
    </row>
    <row r="66" spans="2:2" x14ac:dyDescent="0.45">
      <c r="B66" s="51" t="s">
        <v>138</v>
      </c>
    </row>
  </sheetData>
  <dataValidations count="8">
    <dataValidation type="decimal" allowBlank="1" showInputMessage="1" showErrorMessage="1" error="Enter a percent from 0% to 100%" sqref="C54:C56" xr:uid="{00000000-0002-0000-0000-000000000000}">
      <formula1>0</formula1>
      <formula2>1</formula2>
    </dataValidation>
    <dataValidation type="decimal" allowBlank="1" showInputMessage="1" showErrorMessage="1" error="Enter a number between 0 and 10" sqref="C45:C46" xr:uid="{00000000-0002-0000-0000-000001000000}">
      <formula1>0</formula1>
      <formula2>10</formula2>
    </dataValidation>
    <dataValidation type="whole" allowBlank="1" showInputMessage="1" showErrorMessage="1" error="Enter a whole number between 0 and 10" sqref="C31" xr:uid="{00000000-0002-0000-0000-000002000000}">
      <formula1>0</formula1>
      <formula2>10</formula2>
    </dataValidation>
    <dataValidation type="decimal" allowBlank="1" showInputMessage="1" showErrorMessage="1" error="Enter length in feet" sqref="C30" xr:uid="{00000000-0002-0000-0000-000003000000}">
      <formula1>0</formula1>
      <formula2>10000</formula2>
    </dataValidation>
    <dataValidation type="decimal" allowBlank="1" showInputMessage="1" showErrorMessage="1" error="Enter area in square feet" sqref="C27" xr:uid="{00000000-0002-0000-0000-000004000000}">
      <formula1>0</formula1>
      <formula2>1000</formula2>
    </dataValidation>
    <dataValidation type="whole" allowBlank="1" showInputMessage="1" showErrorMessage="1" error="Enter a whole number" sqref="C20:C26" xr:uid="{00000000-0002-0000-0000-000005000000}">
      <formula1>0</formula1>
      <formula2>10000</formula2>
    </dataValidation>
    <dataValidation type="decimal" allowBlank="1" showInputMessage="1" showErrorMessage="1" error="Enter area in square feet" sqref="C17:C19" xr:uid="{00000000-0002-0000-0000-000006000000}">
      <formula1>0</formula1>
      <formula2>10000000</formula2>
    </dataValidation>
    <dataValidation type="decimal" allowBlank="1" showInputMessage="1" showErrorMessage="1" error="Enter straight-line distance in miles" sqref="C6:C13" xr:uid="{00000000-0002-0000-0000-000007000000}">
      <formula1>0</formula1>
      <formula2>100</formula2>
    </dataValidation>
  </dataValidations>
  <hyperlinks>
    <hyperlink ref="D45" r:id="rId1" display="https://gcc02.safelinks.protection.outlook.com/?url=https%3A%2F%2Fseismicmaps.org%2F&amp;data=02%7C01%7CDavid.Solomon%40dgs.ca.gov%7Cb08211b85e494e13871a08d81700a5d3%7Cea45f7b107d749a8b8f537136ec9382d%7C0%7C0%7C637284638838015368&amp;sdata=wViLJdHKPRUCsCDEJ8NcRB9zXYq6aeD25%2B1WhbfaXjg%3D&amp;reserved=0" xr:uid="{00000000-0004-0000-0000-000000000000}"/>
    <hyperlink ref="D46" r:id="rId2" display="https://gcc02.safelinks.protection.outlook.com/?url=https%3A%2F%2Fseismicmaps.org%2F&amp;data=02%7C01%7CDavid.Solomon%40dgs.ca.gov%7Cb08211b85e494e13871a08d81700a5d3%7Cea45f7b107d749a8b8f537136ec9382d%7C0%7C0%7C637284638838015368&amp;sdata=wViLJdHKPRUCsCDEJ8NcRB9zXYq6aeD25%2B1WhbfaXjg%3D&amp;reserved=0" xr:uid="{00000000-0004-0000-0000-000001000000}"/>
  </hyperlinks>
  <pageMargins left="0.7" right="0.7" top="0.75" bottom="0.75" header="0.3" footer="0.3"/>
  <pageSetup orientation="landscape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4E72C1B-2961-42AE-A427-5B2F43EF521E}">
            <xm:f>Calculations!$F$23&gt;=0</xm:f>
            <x14:dxf>
              <font>
                <b val="0"/>
                <i val="0"/>
                <color auto="1"/>
              </font>
            </x14:dxf>
          </x14:cfRule>
          <xm:sqref>D23</xm:sqref>
        </x14:conditionalFormatting>
        <x14:conditionalFormatting xmlns:xm="http://schemas.microsoft.com/office/excel/2006/main">
          <x14:cfRule type="expression" priority="4" id="{E35CF7B6-6E50-4062-B991-71257E72CC5E}">
            <xm:f>Calculations!$F$23&gt;=0</xm:f>
            <x14:dxf>
              <font>
                <b val="0"/>
                <i val="0"/>
                <color auto="1"/>
              </font>
            </x14:dxf>
          </x14:cfRule>
          <xm:sqref>D24</xm:sqref>
        </x14:conditionalFormatting>
        <x14:conditionalFormatting xmlns:xm="http://schemas.microsoft.com/office/excel/2006/main">
          <x14:cfRule type="expression" priority="3" id="{869138BD-289E-4ED6-A942-62017B34393E}">
            <xm:f>Calculations!$B$61&gt;=0</xm:f>
            <x14:dxf>
              <font>
                <color auto="1"/>
              </font>
            </x14:dxf>
          </x14:cfRule>
          <xm:sqref>C59</xm:sqref>
        </x14:conditionalFormatting>
        <x14:conditionalFormatting xmlns:xm="http://schemas.microsoft.com/office/excel/2006/main">
          <x14:cfRule type="expression" priority="2" id="{352F005B-8FA0-4A81-8BB7-15B85E0CA137}">
            <xm:f>Calculations!$B$61&gt;=0</xm:f>
            <x14:dxf>
              <font>
                <color auto="1"/>
              </font>
            </x14:dxf>
          </x14:cfRule>
          <xm:sqref>C60:C62</xm:sqref>
        </x14:conditionalFormatting>
        <x14:conditionalFormatting xmlns:xm="http://schemas.microsoft.com/office/excel/2006/main">
          <x14:cfRule type="expression" priority="1" id="{41153160-15A0-41E1-83E0-CF89E507268D}">
            <xm:f>Calculations!$B$61&gt;=0</xm:f>
            <x14:dxf>
              <font>
                <color auto="1"/>
              </font>
            </x14:dxf>
          </x14:cfRule>
          <xm:sqref>E59:E63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rtical Irregularity" prompt="Severe, Moderate, or None" xr:uid="{00000000-0002-0000-0000-000008000000}">
          <x14:formula1>
            <xm:f>'Drop Down'!$D$2:$D$4</xm:f>
          </x14:formula1>
          <xm:sqref>C50</xm:sqref>
        </x14:dataValidation>
        <x14:dataValidation type="list" allowBlank="1" showInputMessage="1" showErrorMessage="1" promptTitle="Wall/ceiling rating" prompt="None, 1/2 hour, 1-hour+, or Don't Know" xr:uid="{00000000-0002-0000-0000-000009000000}">
          <x14:formula1>
            <xm:f>'Drop Down'!$B$2:$B$5</xm:f>
          </x14:formula1>
          <xm:sqref>C34</xm:sqref>
        </x14:dataValidation>
        <x14:dataValidation type="list" allowBlank="1" showInputMessage="1" showErrorMessage="1" promptTitle="Setting" prompt="Rural, Suburban, Urban, or Downtown" xr:uid="{00000000-0002-0000-0000-00000A000000}">
          <x14:formula1>
            <xm:f>'Drop Down'!$A$2:$A$5</xm:f>
          </x14:formula1>
          <xm:sqref>C4</xm:sqref>
        </x14:dataValidation>
        <x14:dataValidation type="list" allowBlank="1" showInputMessage="1" showErrorMessage="1" error="Enter &quot;Yes&quot; or &quot;No&quot;" promptTitle="Yes/No" prompt="Yes or No" xr:uid="{00000000-0002-0000-0000-00000B000000}">
          <x14:formula1>
            <xm:f>'Drop Down'!$C$2:$C$3</xm:f>
          </x14:formula1>
          <xm:sqref>C35:C41 C47:C49 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1"/>
  <sheetViews>
    <sheetView topLeftCell="A42" workbookViewId="0">
      <selection activeCell="H67" sqref="H67"/>
    </sheetView>
  </sheetViews>
  <sheetFormatPr defaultRowHeight="14.25" x14ac:dyDescent="0.45"/>
  <cols>
    <col min="1" max="1" width="27.59765625" customWidth="1"/>
    <col min="2" max="2" width="14" bestFit="1" customWidth="1"/>
    <col min="3" max="3" width="14.3984375" customWidth="1"/>
    <col min="4" max="4" width="11.86328125" bestFit="1" customWidth="1"/>
    <col min="5" max="5" width="10.73046875" customWidth="1"/>
    <col min="7" max="7" width="10.73046875" customWidth="1"/>
  </cols>
  <sheetData>
    <row r="1" spans="1:4" x14ac:dyDescent="0.45">
      <c r="A1" s="20" t="s">
        <v>0</v>
      </c>
      <c r="B1" t="e">
        <f>'Input &amp; Output'!C1:F1</f>
        <v>#VALUE!</v>
      </c>
    </row>
    <row r="3" spans="1:4" x14ac:dyDescent="0.45">
      <c r="A3" s="14" t="s">
        <v>2</v>
      </c>
    </row>
    <row r="4" spans="1:4" x14ac:dyDescent="0.45">
      <c r="A4" s="21" t="s">
        <v>4</v>
      </c>
      <c r="B4" s="5"/>
      <c r="D4" s="3"/>
    </row>
    <row r="5" spans="1:4" x14ac:dyDescent="0.45">
      <c r="A5" t="s">
        <v>73</v>
      </c>
    </row>
    <row r="6" spans="1:4" x14ac:dyDescent="0.45">
      <c r="A6" t="s">
        <v>6</v>
      </c>
      <c r="B6" s="5">
        <f>IF(B4="RURAL",IF('Input &amp; Output'!C6=0,0,IF('Input &amp; Output'!C6&lt;=1,3,IF('Input &amp; Output'!C6&lt;=2,2,0))),IF('Input &amp; Output'!C6=0,0,IF('Input &amp; Output'!C6&lt;=0.5,3,IF('Input &amp; Output'!C6&lt;=1,2,0))))</f>
        <v>0</v>
      </c>
      <c r="C6" t="s">
        <v>74</v>
      </c>
    </row>
    <row r="7" spans="1:4" x14ac:dyDescent="0.45">
      <c r="A7" t="s">
        <v>8</v>
      </c>
      <c r="B7" s="5">
        <f>IF(B5="RURAL",IF('Input &amp; Output'!C7=0,0,IF('Input &amp; Output'!C7&lt;=1,5,IF('Input &amp; Output'!C7&lt;=2,1,0))),IF('Input &amp; Output'!C7=0,0,IF('Input &amp; Output'!C7&lt;=0.5,5,IF('Input &amp; Output'!C7&lt;=1,1,0))))</f>
        <v>0</v>
      </c>
      <c r="C7" t="s">
        <v>75</v>
      </c>
    </row>
    <row r="8" spans="1:4" x14ac:dyDescent="0.45">
      <c r="A8" t="s">
        <v>9</v>
      </c>
      <c r="B8" s="5">
        <f>IF(B6="RURAL",IF('Input &amp; Output'!C8=0,0,IF('Input &amp; Output'!C8&lt;=1,2,IF('Input &amp; Output'!C8&lt;=2,1,0))),IF('Input &amp; Output'!C8=0,0,IF('Input &amp; Output'!C8&lt;=0.5,2,IF('Input &amp; Output'!C8&lt;=1,1,0))))</f>
        <v>0</v>
      </c>
      <c r="C8" t="s">
        <v>76</v>
      </c>
    </row>
    <row r="9" spans="1:4" x14ac:dyDescent="0.45">
      <c r="A9" t="s">
        <v>10</v>
      </c>
      <c r="B9" s="5">
        <f>IF(B7="RURAL",IF('Input &amp; Output'!C9=0,0,IF('Input &amp; Output'!C9&lt;=1,3,IF('Input &amp; Output'!C9&lt;=1.5,2,0))),IF('Input &amp; Output'!C9=0,0,IF('Input &amp; Output'!C9&lt;=0.5,3,IF('Input &amp; Output'!C9&lt;=0.75,2,0))))</f>
        <v>0</v>
      </c>
      <c r="C9" t="s">
        <v>77</v>
      </c>
    </row>
    <row r="10" spans="1:4" x14ac:dyDescent="0.45">
      <c r="A10" t="s">
        <v>11</v>
      </c>
      <c r="B10" s="5">
        <f>IF(B8="RURAL",IF('Input &amp; Output'!C10=0,0,IF('Input &amp; Output'!C10&lt;=1,3,IF('Input &amp; Output'!C10&lt;=2,2,0))),IF('Input &amp; Output'!C10=0,0,IF('Input &amp; Output'!C10&lt;=0.5,3,IF('Input &amp; Output'!C10&lt;=1,2,0))))</f>
        <v>0</v>
      </c>
      <c r="C10" t="s">
        <v>74</v>
      </c>
    </row>
    <row r="11" spans="1:4" x14ac:dyDescent="0.45">
      <c r="A11" t="s">
        <v>12</v>
      </c>
      <c r="B11" s="5"/>
      <c r="C11" t="s">
        <v>78</v>
      </c>
    </row>
    <row r="12" spans="1:4" x14ac:dyDescent="0.45">
      <c r="A12" t="s">
        <v>79</v>
      </c>
      <c r="B12" s="5">
        <f>IF('Input &amp; Output'!C12=0,0,IF('Input &amp; Output'!C12&lt;=0.5,3,IF('Input &amp; Output'!C12&lt;=1,2,0)))</f>
        <v>0</v>
      </c>
      <c r="C12" t="s">
        <v>80</v>
      </c>
    </row>
    <row r="13" spans="1:4" ht="14.65" thickBot="1" x14ac:dyDescent="0.5">
      <c r="A13" t="s">
        <v>14</v>
      </c>
      <c r="B13" s="22">
        <f>IF('Input &amp; Output'!C13=0,0,IF('Input &amp; Output'!C13&lt;=1/3,7,IF('Input &amp; Output'!C13&lt;=0.5,3,0)))</f>
        <v>0</v>
      </c>
      <c r="C13" t="s">
        <v>81</v>
      </c>
    </row>
    <row r="14" spans="1:4" ht="14.65" thickBot="1" x14ac:dyDescent="0.5">
      <c r="B14" s="10">
        <f>SUM(B6:B13)</f>
        <v>0</v>
      </c>
    </row>
    <row r="15" spans="1:4" x14ac:dyDescent="0.45">
      <c r="B15" s="9"/>
    </row>
    <row r="16" spans="1:4" x14ac:dyDescent="0.45">
      <c r="A16" s="14" t="s">
        <v>15</v>
      </c>
    </row>
    <row r="17" spans="1:7" x14ac:dyDescent="0.45">
      <c r="A17" t="s">
        <v>16</v>
      </c>
      <c r="B17" s="5">
        <f>'Input &amp; Output'!C17</f>
        <v>0</v>
      </c>
    </row>
    <row r="18" spans="1:7" x14ac:dyDescent="0.45">
      <c r="A18" t="s">
        <v>19</v>
      </c>
      <c r="B18" s="5">
        <f>'Input &amp; Output'!C18</f>
        <v>0</v>
      </c>
      <c r="C18" s="19" t="s">
        <v>82</v>
      </c>
      <c r="D18" t="e">
        <f>B18/B17</f>
        <v>#DIV/0!</v>
      </c>
    </row>
    <row r="19" spans="1:7" x14ac:dyDescent="0.45">
      <c r="A19" t="s">
        <v>20</v>
      </c>
      <c r="B19" s="5">
        <f>'Input &amp; Output'!C19</f>
        <v>0</v>
      </c>
      <c r="C19" s="19" t="s">
        <v>83</v>
      </c>
      <c r="D19" t="e">
        <f>B19/B17</f>
        <v>#DIV/0!</v>
      </c>
    </row>
    <row r="20" spans="1:7" x14ac:dyDescent="0.45">
      <c r="A20" t="s">
        <v>21</v>
      </c>
      <c r="B20" s="5">
        <f>'Input &amp; Output'!C20</f>
        <v>0</v>
      </c>
    </row>
    <row r="21" spans="1:7" x14ac:dyDescent="0.45">
      <c r="A21" t="s">
        <v>22</v>
      </c>
      <c r="B21" s="23">
        <f>'Input &amp; Output'!C21*Calculations!C21</f>
        <v>0</v>
      </c>
      <c r="C21" s="24">
        <f>ROUND(50000*$B$71,-3)</f>
        <v>56000</v>
      </c>
    </row>
    <row r="22" spans="1:7" x14ac:dyDescent="0.45">
      <c r="A22" t="s">
        <v>23</v>
      </c>
      <c r="B22" s="5">
        <f>'Input &amp; Output'!C22</f>
        <v>0</v>
      </c>
      <c r="C22" s="19" t="s">
        <v>84</v>
      </c>
      <c r="D22" t="e">
        <f>B22/('Input &amp; Output'!C17/43560)</f>
        <v>#DIV/0!</v>
      </c>
      <c r="F22" s="3" t="s">
        <v>85</v>
      </c>
      <c r="G22" s="3" t="s">
        <v>86</v>
      </c>
    </row>
    <row r="23" spans="1:7" x14ac:dyDescent="0.45">
      <c r="A23" t="s">
        <v>24</v>
      </c>
      <c r="B23" s="25" t="e">
        <f>IF(Calculations!E23&lt;0.05,F23*Calculations!G23,0)</f>
        <v>#DIV/0!</v>
      </c>
      <c r="D23" s="19" t="s">
        <v>87</v>
      </c>
      <c r="E23" s="26" t="e">
        <f>'Input &amp; Output'!C23/B$22</f>
        <v>#DIV/0!</v>
      </c>
      <c r="F23" t="e">
        <f>MAX(ROUNDUP(B$22*(0.05-Calculations!E23),0),0)</f>
        <v>#DIV/0!</v>
      </c>
      <c r="G23" s="24">
        <f>ROUND(35000*$B$71,-3)</f>
        <v>39000</v>
      </c>
    </row>
    <row r="24" spans="1:7" x14ac:dyDescent="0.45">
      <c r="A24" t="s">
        <v>26</v>
      </c>
      <c r="B24" s="25" t="e">
        <f>IF(Calculations!E24&lt;0.05,F24*Calculations!G24,0)</f>
        <v>#DIV/0!</v>
      </c>
      <c r="D24" s="19" t="s">
        <v>87</v>
      </c>
      <c r="E24" s="26" t="e">
        <f>'Input &amp; Output'!C24/B$22</f>
        <v>#DIV/0!</v>
      </c>
      <c r="F24" t="e">
        <f>MAX(ROUNDUP(B$22*(0.02-Calculations!E24),0),0)</f>
        <v>#DIV/0!</v>
      </c>
      <c r="G24" s="24">
        <f>ROUND(3000*$B$71,-2)</f>
        <v>3400</v>
      </c>
    </row>
    <row r="25" spans="1:7" x14ac:dyDescent="0.45">
      <c r="A25" t="s">
        <v>27</v>
      </c>
      <c r="B25" s="27">
        <f>'Input &amp; Output'!C25*Calculations!G23</f>
        <v>0</v>
      </c>
    </row>
    <row r="26" spans="1:7" ht="28.5" x14ac:dyDescent="0.45">
      <c r="A26" s="7" t="s">
        <v>28</v>
      </c>
      <c r="B26" s="5">
        <f>'Input &amp; Output'!C26</f>
        <v>0</v>
      </c>
    </row>
    <row r="27" spans="1:7" ht="28.5" x14ac:dyDescent="0.45">
      <c r="A27" s="7" t="s">
        <v>30</v>
      </c>
      <c r="B27" s="5">
        <f>'Input &amp; Output'!C27</f>
        <v>325</v>
      </c>
      <c r="C27" t="s">
        <v>17</v>
      </c>
    </row>
    <row r="29" spans="1:7" x14ac:dyDescent="0.45">
      <c r="A29" s="14" t="s">
        <v>32</v>
      </c>
    </row>
    <row r="30" spans="1:7" x14ac:dyDescent="0.45">
      <c r="A30" t="s">
        <v>33</v>
      </c>
      <c r="B30" s="23">
        <f>'Input &amp; Output'!C30*Calculations!C30</f>
        <v>0</v>
      </c>
      <c r="C30" s="24">
        <f>ROUND(220*$B$71,-1)</f>
        <v>250</v>
      </c>
      <c r="D30" s="28" t="s">
        <v>88</v>
      </c>
    </row>
    <row r="31" spans="1:7" x14ac:dyDescent="0.45">
      <c r="A31" t="s">
        <v>36</v>
      </c>
      <c r="B31" s="23">
        <f>'Input &amp; Output'!C31*C31</f>
        <v>0</v>
      </c>
      <c r="C31" s="24">
        <f>ROUND(25800*$B$71,-3)</f>
        <v>29000</v>
      </c>
      <c r="D31" t="s">
        <v>89</v>
      </c>
    </row>
    <row r="33" spans="1:15" x14ac:dyDescent="0.45">
      <c r="A33" s="14" t="s">
        <v>38</v>
      </c>
      <c r="B33" s="3" t="s">
        <v>90</v>
      </c>
      <c r="C33" s="3"/>
      <c r="D33" s="3" t="s">
        <v>86</v>
      </c>
      <c r="E33" s="3"/>
      <c r="F33" s="3" t="s">
        <v>86</v>
      </c>
    </row>
    <row r="34" spans="1:15" x14ac:dyDescent="0.45">
      <c r="A34" t="s">
        <v>39</v>
      </c>
      <c r="B34" s="25">
        <f>IF(OR('Input &amp; Output'!C34="1/2 hour",'Input &amp; Output'!C34="1-hour+"),Calculations!D34,Calculations!F34)*B$22</f>
        <v>0</v>
      </c>
      <c r="C34" t="s">
        <v>91</v>
      </c>
      <c r="D34" s="24">
        <v>0</v>
      </c>
      <c r="E34" t="s">
        <v>92</v>
      </c>
      <c r="F34" s="24">
        <f>ROUND(18000*$B$71,-3)</f>
        <v>20000</v>
      </c>
    </row>
    <row r="35" spans="1:15" x14ac:dyDescent="0.45">
      <c r="A35" t="s">
        <v>41</v>
      </c>
      <c r="B35" s="25">
        <f>IF('Input &amp; Output'!C35="Yes",Calculations!D35,Calculations!F35)*B$22</f>
        <v>0</v>
      </c>
      <c r="C35" t="s">
        <v>93</v>
      </c>
      <c r="D35" s="24">
        <v>0</v>
      </c>
      <c r="E35" t="s">
        <v>94</v>
      </c>
      <c r="F35" s="24">
        <f>ROUND(7000*$B$71,-3)</f>
        <v>8000</v>
      </c>
    </row>
    <row r="36" spans="1:15" x14ac:dyDescent="0.45">
      <c r="A36" t="s">
        <v>43</v>
      </c>
      <c r="B36" s="25">
        <f>IF('Input &amp; Output'!C35="Yes",Calculations!D36,Calculations!F36)*B$22</f>
        <v>0</v>
      </c>
      <c r="C36" t="s">
        <v>93</v>
      </c>
      <c r="D36" s="24">
        <f>ROUND(66*$B$71,0)</f>
        <v>74</v>
      </c>
      <c r="E36" t="s">
        <v>94</v>
      </c>
      <c r="F36" s="24">
        <f>ROUND(5000*$B$71,-3)</f>
        <v>6000</v>
      </c>
    </row>
    <row r="37" spans="1:15" x14ac:dyDescent="0.45">
      <c r="A37" s="7" t="s">
        <v>135</v>
      </c>
      <c r="B37" s="27">
        <f>IF('Input &amp; Output'!C37="Yes",Calculations!D37,Calculations!F37)*B$22</f>
        <v>0</v>
      </c>
      <c r="C37" t="s">
        <v>93</v>
      </c>
      <c r="D37" s="24">
        <v>0</v>
      </c>
      <c r="E37" t="s">
        <v>94</v>
      </c>
      <c r="F37" s="24">
        <f>ROUND(36000*$B$71,-3)</f>
        <v>40000</v>
      </c>
    </row>
    <row r="38" spans="1:15" x14ac:dyDescent="0.45">
      <c r="A38" s="12" t="s">
        <v>44</v>
      </c>
      <c r="B38" s="25">
        <f>IF(AND('Input &amp; Output'!C38="Yes",'Input &amp; Output'!C40&lt;&gt;"Yes"),Calculations!D38,0)*B22/2</f>
        <v>0</v>
      </c>
      <c r="D38" s="24">
        <f>ROUND(5000*$B$71,-3)</f>
        <v>6000</v>
      </c>
      <c r="F38" s="24"/>
    </row>
    <row r="39" spans="1:15" x14ac:dyDescent="0.45">
      <c r="A39" s="12" t="s">
        <v>127</v>
      </c>
      <c r="B39" s="25">
        <f>IF(AND('Input &amp; Output'!C39="Yes",'Input &amp; Output'!C38&lt;&gt;"Yes"),IF('Input &amp; Output'!C41="Yes",Calculations!D41,Calculations!F41),0)*B22</f>
        <v>0</v>
      </c>
      <c r="D39" s="24"/>
      <c r="F39" s="24"/>
    </row>
    <row r="40" spans="1:15" x14ac:dyDescent="0.45">
      <c r="A40" t="s">
        <v>45</v>
      </c>
      <c r="B40" s="5"/>
      <c r="D40" s="19" t="s">
        <v>95</v>
      </c>
      <c r="E40">
        <f>ROUNDDOWN('Input &amp; Output'!C22*0.49,0)</f>
        <v>0</v>
      </c>
      <c r="F40" s="24"/>
    </row>
    <row r="41" spans="1:15" ht="28.5" x14ac:dyDescent="0.45">
      <c r="A41" s="7" t="s">
        <v>128</v>
      </c>
      <c r="B41" s="5"/>
      <c r="C41" t="s">
        <v>93</v>
      </c>
      <c r="D41" s="24">
        <f>ROUND(7500*$B$71,-2)</f>
        <v>8400</v>
      </c>
      <c r="E41" t="s">
        <v>94</v>
      </c>
      <c r="F41" s="24">
        <f>ROUND(10000*$B$71,-3)</f>
        <v>11000</v>
      </c>
    </row>
    <row r="42" spans="1:15" x14ac:dyDescent="0.45">
      <c r="A42" t="s">
        <v>46</v>
      </c>
      <c r="B42" s="23">
        <f>IF(OR(B53&gt;0,'Input &amp; Output'!C42&gt;10),Calculations!F42,Calculations!D42)*B$18</f>
        <v>0</v>
      </c>
      <c r="C42" t="s">
        <v>96</v>
      </c>
      <c r="D42" s="24">
        <v>0</v>
      </c>
      <c r="E42" t="s">
        <v>97</v>
      </c>
      <c r="F42" s="24">
        <f>ROUND(28*$B$71,0)</f>
        <v>31</v>
      </c>
    </row>
    <row r="44" spans="1:15" x14ac:dyDescent="0.45">
      <c r="A44" s="14" t="s">
        <v>48</v>
      </c>
      <c r="C44" t="s">
        <v>98</v>
      </c>
    </row>
    <row r="45" spans="1:15" x14ac:dyDescent="0.45">
      <c r="A45" t="s">
        <v>99</v>
      </c>
      <c r="B45" s="5" t="str">
        <f>IF(OR(B46&gt;=K46,B47&gt;=K47),K45,IF(OR(B46&gt;=L46,B47&gt;=L47),L45,M45))</f>
        <v>Moderately High</v>
      </c>
      <c r="C45" t="s">
        <v>100</v>
      </c>
      <c r="D45" t="s">
        <v>101</v>
      </c>
      <c r="E45" t="s">
        <v>102</v>
      </c>
      <c r="F45" t="s">
        <v>103</v>
      </c>
      <c r="G45" t="s">
        <v>104</v>
      </c>
      <c r="H45" s="3" t="s">
        <v>86</v>
      </c>
      <c r="J45" s="29" t="s">
        <v>105</v>
      </c>
      <c r="K45" s="30" t="s">
        <v>100</v>
      </c>
      <c r="L45" s="30" t="s">
        <v>101</v>
      </c>
      <c r="M45" s="30" t="s">
        <v>102</v>
      </c>
      <c r="N45" s="30" t="s">
        <v>103</v>
      </c>
      <c r="O45" s="31" t="s">
        <v>104</v>
      </c>
    </row>
    <row r="46" spans="1:15" ht="15.75" x14ac:dyDescent="0.55000000000000004">
      <c r="A46" s="7" t="s">
        <v>49</v>
      </c>
      <c r="B46" s="5">
        <f>'Input &amp; Output'!C45</f>
        <v>0</v>
      </c>
      <c r="C46">
        <v>1.9</v>
      </c>
      <c r="D46">
        <v>3.2</v>
      </c>
      <c r="E46">
        <v>3.7</v>
      </c>
      <c r="F46">
        <v>4.5</v>
      </c>
      <c r="G46">
        <v>5.9</v>
      </c>
      <c r="J46" s="32" t="s">
        <v>106</v>
      </c>
      <c r="K46" s="9">
        <v>1.5</v>
      </c>
      <c r="L46" s="9">
        <v>1</v>
      </c>
      <c r="M46" s="9">
        <v>0.5</v>
      </c>
      <c r="N46" s="9">
        <v>0.25</v>
      </c>
      <c r="O46" s="33"/>
    </row>
    <row r="47" spans="1:15" ht="15.75" x14ac:dyDescent="0.55000000000000004">
      <c r="A47" s="7" t="s">
        <v>51</v>
      </c>
      <c r="B47" s="5">
        <f>'Input &amp; Output'!C46</f>
        <v>0</v>
      </c>
      <c r="C47" s="34">
        <f>IF(OR($B47="A",$B47="B"),0.5,IF($B47="E",-0.2,0))</f>
        <v>0</v>
      </c>
      <c r="D47" s="34">
        <f>IF(OR($B47="A",$B47="B"),0.3,IF($B47="E",0.2,0))</f>
        <v>0</v>
      </c>
      <c r="E47" s="34">
        <f>IF(OR($B47="A",$B47="B"),0.6,IF($B47="E",-0.1,0))</f>
        <v>0</v>
      </c>
      <c r="F47" s="34">
        <f>IF(OR($B47="A",$B47="B"),1.2,IF($B47="E",-1.3,0))</f>
        <v>0</v>
      </c>
      <c r="G47" s="34">
        <f>IF(OR($B47="A",$B47="B"),1.1,IF($B47="E",-1.7,0))</f>
        <v>0</v>
      </c>
      <c r="J47" s="35" t="s">
        <v>107</v>
      </c>
      <c r="K47" s="36">
        <v>0.6</v>
      </c>
      <c r="L47" s="36">
        <v>0.4</v>
      </c>
      <c r="M47" s="36">
        <v>0.2</v>
      </c>
      <c r="N47" s="36">
        <v>0.1</v>
      </c>
      <c r="O47" s="37"/>
    </row>
    <row r="48" spans="1:15" x14ac:dyDescent="0.45">
      <c r="A48" t="s">
        <v>52</v>
      </c>
      <c r="B48" s="5">
        <f>'Input &amp; Output'!C47</f>
        <v>0</v>
      </c>
      <c r="H48" s="24">
        <f t="shared" ref="H48:H50" si="0">ROUND(7000*$B$71,-3)</f>
        <v>8000</v>
      </c>
    </row>
    <row r="49" spans="1:9" x14ac:dyDescent="0.45">
      <c r="A49" t="s">
        <v>53</v>
      </c>
      <c r="B49" s="5">
        <f>'Input &amp; Output'!C48</f>
        <v>0</v>
      </c>
      <c r="C49">
        <f>IF($B49="Yes",-0.2,0)</f>
        <v>0</v>
      </c>
      <c r="D49">
        <f t="shared" ref="D49" si="1">IF($B49="Yes",-0.2,0)</f>
        <v>0</v>
      </c>
      <c r="E49">
        <f>IF($B49="Yes",-0.1,0)</f>
        <v>0</v>
      </c>
      <c r="F49">
        <f>IF($B49="Yes",-1.3,0)</f>
        <v>0</v>
      </c>
      <c r="G49">
        <f>IF($B49="Yes",-1.7,0)</f>
        <v>0</v>
      </c>
      <c r="H49" s="24">
        <f t="shared" si="0"/>
        <v>8000</v>
      </c>
    </row>
    <row r="50" spans="1:9" x14ac:dyDescent="0.45">
      <c r="A50" t="s">
        <v>54</v>
      </c>
      <c r="B50" s="5">
        <f>'Input &amp; Output'!C49</f>
        <v>0</v>
      </c>
      <c r="H50" s="24">
        <f t="shared" si="0"/>
        <v>8000</v>
      </c>
    </row>
    <row r="51" spans="1:9" x14ac:dyDescent="0.45">
      <c r="A51" t="s">
        <v>55</v>
      </c>
      <c r="B51" s="5">
        <f>'Input &amp; Output'!C50</f>
        <v>0</v>
      </c>
      <c r="C51">
        <f>IF($B51="Severe",-0.9,IF($B51="Moderate",-0.5,0))</f>
        <v>0</v>
      </c>
      <c r="D51">
        <f>IF($B51="Severe",-1.2,IF($B51="Moderate",-0.7,0))</f>
        <v>0</v>
      </c>
      <c r="E51">
        <f>IF($B51="Severe",-1.3,IF($B51="Moderate",-0.8,0))</f>
        <v>0</v>
      </c>
      <c r="F51">
        <f>IF($B51="Severe",-1.4,IF($B51="Moderate",-0.9,0))</f>
        <v>0</v>
      </c>
      <c r="G51">
        <f>IF($B51="Severe",-1.5,IF($B51="Moderate",-0.95,0))</f>
        <v>0</v>
      </c>
      <c r="H51" s="24">
        <f t="shared" ref="H51:H53" si="2">ROUND(5000*$B$71,-3)</f>
        <v>6000</v>
      </c>
    </row>
    <row r="52" spans="1:9" x14ac:dyDescent="0.45">
      <c r="A52" t="s">
        <v>57</v>
      </c>
      <c r="B52" s="5">
        <f>'Input &amp; Output'!C51</f>
        <v>0</v>
      </c>
      <c r="C52">
        <f>IF($B52="No",0,-0.2)</f>
        <v>-0.2</v>
      </c>
      <c r="D52">
        <f>IF($B52="No",0,-1)</f>
        <v>-1</v>
      </c>
      <c r="E52">
        <f>IF($B52="No",0,-1.2)</f>
        <v>-1.2</v>
      </c>
      <c r="F52">
        <f>IF($B52="No",0,-1.3)</f>
        <v>-1.3</v>
      </c>
      <c r="G52">
        <f>IF($B52="No",0,-1.4)</f>
        <v>-1.4</v>
      </c>
      <c r="H52" s="24">
        <f t="shared" si="2"/>
        <v>6000</v>
      </c>
    </row>
    <row r="53" spans="1:9" x14ac:dyDescent="0.45">
      <c r="A53" s="38" t="s">
        <v>108</v>
      </c>
      <c r="B53" s="25">
        <f>IF(B48="No",0,H48*B22)+IF(B49="No",0,H49*B22)+IF(B50="No",0,H50*B22)+IF(2-HLOOKUP(B45,C45:G53,9,FALSE)&gt;0,H53*B22,0)+IF(HLOOKUP(B45,C45:G53,8,FALSE)&lt;0,H52*B22,0)+IF(HLOOKUP(B45,C45:G53,7,FALSE)&lt;0,H51*B22,0)</f>
        <v>0</v>
      </c>
      <c r="C53">
        <f>SUM(C46:C52)</f>
        <v>1.7</v>
      </c>
      <c r="D53">
        <f>SUM(D46:D52)</f>
        <v>2.2000000000000002</v>
      </c>
      <c r="E53">
        <f>SUM(E46:E52)</f>
        <v>2.5</v>
      </c>
      <c r="F53">
        <f>SUM(F46:F52)</f>
        <v>3.2</v>
      </c>
      <c r="G53">
        <f>SUM(G46:G52)</f>
        <v>4.5</v>
      </c>
      <c r="H53" s="24">
        <f t="shared" si="2"/>
        <v>6000</v>
      </c>
    </row>
    <row r="54" spans="1:9" x14ac:dyDescent="0.45">
      <c r="A54" s="38"/>
      <c r="B54" s="9"/>
    </row>
    <row r="55" spans="1:9" x14ac:dyDescent="0.45">
      <c r="A55" s="14" t="s">
        <v>58</v>
      </c>
      <c r="C55" s="3" t="s">
        <v>86</v>
      </c>
    </row>
    <row r="56" spans="1:9" x14ac:dyDescent="0.45">
      <c r="A56" t="s">
        <v>60</v>
      </c>
      <c r="B56" s="23">
        <f>'Input &amp; Output'!C54*B$22*C56</f>
        <v>0</v>
      </c>
      <c r="C56" s="24">
        <f>ROUND(7500*$B$71,-2)</f>
        <v>8400</v>
      </c>
      <c r="D56" s="24"/>
    </row>
    <row r="57" spans="1:9" x14ac:dyDescent="0.45">
      <c r="A57" t="s">
        <v>62</v>
      </c>
      <c r="B57" s="23">
        <f>'Input &amp; Output'!C55*B$22*C57</f>
        <v>0</v>
      </c>
      <c r="C57" s="24">
        <f>ROUND(2500*$B$71,-2)</f>
        <v>2800</v>
      </c>
      <c r="D57" s="24"/>
    </row>
    <row r="58" spans="1:9" x14ac:dyDescent="0.45">
      <c r="A58" t="s">
        <v>63</v>
      </c>
      <c r="B58" s="23">
        <f>'Input &amp; Output'!C56*B$22*C58</f>
        <v>0</v>
      </c>
      <c r="C58" s="24">
        <f>ROUND(2500*$B$71,-2)</f>
        <v>2800</v>
      </c>
      <c r="D58" s="24"/>
    </row>
    <row r="60" spans="1:9" ht="14.65" thickBot="1" x14ac:dyDescent="0.5">
      <c r="A60" s="39" t="s">
        <v>109</v>
      </c>
      <c r="G60" t="s">
        <v>110</v>
      </c>
    </row>
    <row r="61" spans="1:9" ht="14.65" thickBot="1" x14ac:dyDescent="0.5">
      <c r="A61" s="40" t="s">
        <v>66</v>
      </c>
      <c r="B61" s="41" t="e">
        <f>B23+B24+SUM(B34:B36)+B38+B39+B53+G61</f>
        <v>#DIV/0!</v>
      </c>
      <c r="C61" s="19" t="s">
        <v>67</v>
      </c>
      <c r="D61" s="42" t="e">
        <f>B61/E61</f>
        <v>#DIV/0!</v>
      </c>
      <c r="E61">
        <f>B$22</f>
        <v>0</v>
      </c>
      <c r="F61" t="s">
        <v>111</v>
      </c>
      <c r="G61" s="41">
        <f>H61*E61</f>
        <v>0</v>
      </c>
      <c r="H61" s="24">
        <f t="shared" ref="H61:H63" si="3">ROUND(5000*$B$71,-3)</f>
        <v>6000</v>
      </c>
      <c r="I61" t="s">
        <v>112</v>
      </c>
    </row>
    <row r="62" spans="1:9" ht="14.65" thickBot="1" x14ac:dyDescent="0.5">
      <c r="A62" s="40" t="s">
        <v>68</v>
      </c>
      <c r="B62" s="43" t="e">
        <f>B21+B30+B31+B42+SUM(B56:B58)+B61+G62</f>
        <v>#DIV/0!</v>
      </c>
      <c r="C62" s="19" t="s">
        <v>67</v>
      </c>
      <c r="D62" s="42" t="e">
        <f>B62/E62</f>
        <v>#DIV/0!</v>
      </c>
      <c r="E62">
        <f>B$22</f>
        <v>0</v>
      </c>
      <c r="F62" t="s">
        <v>111</v>
      </c>
      <c r="G62" s="43">
        <f>H62*E62</f>
        <v>0</v>
      </c>
      <c r="H62" s="24">
        <f>ROUND(2000*$B$71,-2)</f>
        <v>2200</v>
      </c>
      <c r="I62" t="s">
        <v>112</v>
      </c>
    </row>
    <row r="63" spans="1:9" ht="14.65" thickBot="1" x14ac:dyDescent="0.5">
      <c r="A63" s="40" t="s">
        <v>69</v>
      </c>
      <c r="B63" s="44" t="e">
        <f>B25+B37+B62+G63</f>
        <v>#DIV/0!</v>
      </c>
      <c r="C63" s="19" t="s">
        <v>67</v>
      </c>
      <c r="D63" s="42" t="e">
        <f>B63/E63</f>
        <v>#DIV/0!</v>
      </c>
      <c r="E63">
        <f>E$40</f>
        <v>0</v>
      </c>
      <c r="F63" t="s">
        <v>111</v>
      </c>
      <c r="G63" s="44">
        <f>H63*E63</f>
        <v>0</v>
      </c>
      <c r="H63" s="24">
        <f>ROUND(16000*$B$71,-3)</f>
        <v>18000</v>
      </c>
      <c r="I63" t="s">
        <v>112</v>
      </c>
    </row>
    <row r="64" spans="1:9" ht="14.65" thickBot="1" x14ac:dyDescent="0.5">
      <c r="A64" s="40" t="s">
        <v>70</v>
      </c>
      <c r="B64" s="45" t="e">
        <f>B63+G64</f>
        <v>#DIV/0!</v>
      </c>
      <c r="C64" s="19" t="s">
        <v>67</v>
      </c>
      <c r="D64" s="42" t="e">
        <f>B64/E64</f>
        <v>#DIV/0!</v>
      </c>
      <c r="E64">
        <f>E$40</f>
        <v>0</v>
      </c>
      <c r="F64" t="s">
        <v>111</v>
      </c>
      <c r="G64" s="46">
        <f>H64*E64</f>
        <v>0</v>
      </c>
      <c r="H64" s="24">
        <f>ROUND(20000*$B$71,-3)</f>
        <v>22000</v>
      </c>
      <c r="I64" t="s">
        <v>112</v>
      </c>
    </row>
    <row r="65" spans="1:10" ht="14.65" thickBot="1" x14ac:dyDescent="0.5">
      <c r="A65" s="40" t="s">
        <v>71</v>
      </c>
      <c r="B65" s="52">
        <f>G65+IF(B17&gt;0,G66,E65*25000)</f>
        <v>0</v>
      </c>
      <c r="C65" s="19" t="s">
        <v>67</v>
      </c>
      <c r="D65" s="42" t="e">
        <f>B65/E65</f>
        <v>#DIV/0!</v>
      </c>
      <c r="E65">
        <f>B$26</f>
        <v>0</v>
      </c>
      <c r="F65" t="s">
        <v>111</v>
      </c>
      <c r="G65" s="53">
        <f>H65*E65*B27</f>
        <v>0</v>
      </c>
      <c r="H65" s="24">
        <f>ROUND(570*1.28*$B$71,-1)</f>
        <v>820</v>
      </c>
      <c r="I65" t="s">
        <v>113</v>
      </c>
      <c r="J65" t="s">
        <v>114</v>
      </c>
    </row>
    <row r="66" spans="1:10" ht="14.65" thickBot="1" x14ac:dyDescent="0.5">
      <c r="G66" s="53">
        <f>B17*H66</f>
        <v>0</v>
      </c>
      <c r="H66" s="24">
        <f>ROUND(1500000*$B$71/43560,0)</f>
        <v>39</v>
      </c>
      <c r="I66" t="s">
        <v>113</v>
      </c>
      <c r="J66" t="s">
        <v>115</v>
      </c>
    </row>
    <row r="68" spans="1:10" x14ac:dyDescent="0.45">
      <c r="A68" s="61" t="s">
        <v>149</v>
      </c>
      <c r="B68" s="36" t="s">
        <v>150</v>
      </c>
    </row>
    <row r="69" spans="1:10" x14ac:dyDescent="0.45">
      <c r="A69" s="60">
        <v>43983</v>
      </c>
      <c r="B69">
        <v>7041</v>
      </c>
    </row>
    <row r="70" spans="1:10" x14ac:dyDescent="0.45">
      <c r="A70" s="60">
        <v>44441</v>
      </c>
      <c r="B70">
        <v>7900</v>
      </c>
    </row>
    <row r="71" spans="1:10" x14ac:dyDescent="0.45">
      <c r="A71" s="19" t="s">
        <v>151</v>
      </c>
      <c r="B71" s="62">
        <f>B70/B69</f>
        <v>1.121999715949439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workbookViewId="0">
      <selection activeCell="K8" sqref="K8"/>
    </sheetView>
  </sheetViews>
  <sheetFormatPr defaultRowHeight="14.25" x14ac:dyDescent="0.45"/>
  <sheetData>
    <row r="1" spans="1:4" ht="42.75" x14ac:dyDescent="0.45">
      <c r="A1" t="s">
        <v>4</v>
      </c>
      <c r="B1" s="7" t="s">
        <v>39</v>
      </c>
      <c r="C1" t="s">
        <v>42</v>
      </c>
      <c r="D1" s="7" t="s">
        <v>55</v>
      </c>
    </row>
    <row r="2" spans="1:4" x14ac:dyDescent="0.45">
      <c r="A2" t="s">
        <v>116</v>
      </c>
      <c r="B2" t="s">
        <v>117</v>
      </c>
      <c r="C2" t="s">
        <v>118</v>
      </c>
      <c r="D2" t="s">
        <v>119</v>
      </c>
    </row>
    <row r="3" spans="1:4" x14ac:dyDescent="0.45">
      <c r="A3" t="s">
        <v>120</v>
      </c>
      <c r="B3" t="s">
        <v>121</v>
      </c>
      <c r="C3" t="s">
        <v>122</v>
      </c>
      <c r="D3" t="s">
        <v>103</v>
      </c>
    </row>
    <row r="4" spans="1:4" x14ac:dyDescent="0.45">
      <c r="A4" t="s">
        <v>123</v>
      </c>
      <c r="B4" t="s">
        <v>124</v>
      </c>
      <c r="D4" t="s">
        <v>117</v>
      </c>
    </row>
    <row r="5" spans="1:4" x14ac:dyDescent="0.45">
      <c r="A5" t="s">
        <v>125</v>
      </c>
      <c r="B5" t="s">
        <v>126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&amp; Output</vt:lpstr>
      <vt:lpstr>Calculations</vt:lpstr>
      <vt:lpstr>Drop Down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David@DGS</dc:creator>
  <cp:lastModifiedBy>Solomon, David@DGS</cp:lastModifiedBy>
  <dcterms:created xsi:type="dcterms:W3CDTF">2020-06-27T03:46:57Z</dcterms:created>
  <dcterms:modified xsi:type="dcterms:W3CDTF">2021-09-30T15:12:26Z</dcterms:modified>
</cp:coreProperties>
</file>